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2240" activeTab="0"/>
  </bookViews>
  <sheets>
    <sheet name="Refrence" sheetId="1" r:id="rId1"/>
    <sheet name="Bank Codes" sheetId="2" r:id="rId2"/>
    <sheet name="DV-IDENTITY-0" sheetId="3" state="veryHidden" r:id="rId3"/>
  </sheets>
  <definedNames/>
  <calcPr fullCalcOnLoad="1"/>
</workbook>
</file>

<file path=xl/sharedStrings.xml><?xml version="1.0" encoding="utf-8"?>
<sst xmlns="http://schemas.openxmlformats.org/spreadsheetml/2006/main" count="234" uniqueCount="190">
  <si>
    <t>NRIC</t>
  </si>
  <si>
    <t>FIN</t>
  </si>
  <si>
    <t>Field Name</t>
  </si>
  <si>
    <t>REQUIRED</t>
  </si>
  <si>
    <t>Description</t>
  </si>
  <si>
    <t>Comments</t>
  </si>
  <si>
    <t>FIRSTNAME</t>
  </si>
  <si>
    <t>CONFIRMATIONDATE</t>
  </si>
  <si>
    <t>CPFENTITLEMENT</t>
  </si>
  <si>
    <t>OTENTILEMENT</t>
  </si>
  <si>
    <t>EMPTYPE</t>
  </si>
  <si>
    <t>PR DATE</t>
  </si>
  <si>
    <t>NATIONALITY</t>
  </si>
  <si>
    <t>JOININGDATE</t>
  </si>
  <si>
    <t>HOURLYRATEMODE</t>
  </si>
  <si>
    <t>DAILYRATEMODE</t>
  </si>
  <si>
    <t>SEX</t>
  </si>
  <si>
    <t>RACE</t>
  </si>
  <si>
    <t>PLEASE DO NOT INCLUDE WILDCARD CHARACTERS LIKE ~ ! @ # $ % ^ &amp; * ( ) _ + { } | : " &lt; &gt; ? ` [ ] ; ' , / -</t>
  </si>
  <si>
    <t>SR#</t>
  </si>
  <si>
    <t>Example</t>
  </si>
  <si>
    <r>
      <t xml:space="preserve">Not More than </t>
    </r>
    <r>
      <rPr>
        <b/>
        <sz val="10"/>
        <rFont val="Tahoma"/>
        <family val="2"/>
      </rPr>
      <t>50 characters</t>
    </r>
    <r>
      <rPr>
        <sz val="10"/>
        <rFont val="Tahoma"/>
        <family val="2"/>
      </rPr>
      <t xml:space="preserve">. Enter </t>
    </r>
    <r>
      <rPr>
        <b/>
        <sz val="10"/>
        <rFont val="Tahoma"/>
        <family val="2"/>
      </rPr>
      <t>A</t>
    </r>
    <r>
      <rPr>
        <sz val="10"/>
        <rFont val="Tahoma"/>
        <family val="2"/>
      </rPr>
      <t xml:space="preserve"> through </t>
    </r>
    <r>
      <rPr>
        <b/>
        <sz val="10"/>
        <rFont val="Tahoma"/>
        <family val="2"/>
      </rPr>
      <t>Z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0</t>
    </r>
    <r>
      <rPr>
        <sz val="10"/>
        <rFont val="Tahoma"/>
        <family val="2"/>
      </rPr>
      <t xml:space="preserve"> through </t>
    </r>
    <r>
      <rPr>
        <b/>
        <sz val="10"/>
        <rFont val="Tahoma"/>
        <family val="2"/>
      </rPr>
      <t>9</t>
    </r>
  </si>
  <si>
    <r>
      <t xml:space="preserve">Valid Date in </t>
    </r>
    <r>
      <rPr>
        <b/>
        <sz val="10"/>
        <rFont val="Tahoma"/>
        <family val="2"/>
      </rPr>
      <t>DD/MM/YYYY</t>
    </r>
    <r>
      <rPr>
        <sz val="10"/>
        <rFont val="Tahoma"/>
        <family val="2"/>
      </rPr>
      <t xml:space="preserve"> Format</t>
    </r>
  </si>
  <si>
    <r>
      <t>Enter (</t>
    </r>
    <r>
      <rPr>
        <b/>
        <sz val="10"/>
        <rFont val="Tahoma"/>
        <family val="2"/>
      </rPr>
      <t>Y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N</t>
    </r>
    <r>
      <rPr>
        <sz val="10"/>
        <rFont val="Tahoma"/>
        <family val="2"/>
      </rPr>
      <t>) OR (</t>
    </r>
    <r>
      <rPr>
        <b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</si>
  <si>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IF Employee Type is </t>
    </r>
    <r>
      <rPr>
        <b/>
        <sz val="10"/>
        <rFont val="Tahoma"/>
        <family val="2"/>
      </rPr>
      <t>SC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SPR</t>
    </r>
    <r>
      <rPr>
        <sz val="10"/>
        <rFont val="Tahoma"/>
        <family val="2"/>
      </rPr>
      <t xml:space="preserve"> then Enter Valid </t>
    </r>
    <r>
      <rPr>
        <b/>
        <sz val="10"/>
        <rFont val="Tahoma"/>
        <family val="2"/>
      </rPr>
      <t>NRIC</t>
    </r>
  </si>
  <si>
    <r>
      <t xml:space="preserve">Enter Either of </t>
    </r>
    <r>
      <rPr>
        <b/>
        <sz val="10"/>
        <rFont val="Tahoma"/>
        <family val="2"/>
      </rPr>
      <t>D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M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H</t>
    </r>
  </si>
  <si>
    <r>
      <t xml:space="preserve">Enter Either of </t>
    </r>
    <r>
      <rPr>
        <b/>
        <sz val="10"/>
        <rFont val="Tahoma"/>
        <family val="2"/>
      </rPr>
      <t>A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M</t>
    </r>
  </si>
  <si>
    <r>
      <t xml:space="preserve">Enter Either of </t>
    </r>
    <r>
      <rPr>
        <b/>
        <sz val="10"/>
        <rFont val="Tahoma"/>
        <family val="2"/>
      </rPr>
      <t>M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F</t>
    </r>
  </si>
  <si>
    <r>
      <t xml:space="preserve">Not More than </t>
    </r>
    <r>
      <rPr>
        <b/>
        <sz val="10"/>
        <rFont val="Tahoma"/>
        <family val="2"/>
      </rPr>
      <t>50</t>
    </r>
    <r>
      <rPr>
        <sz val="10"/>
        <rFont val="Tahoma"/>
        <family val="2"/>
      </rPr>
      <t xml:space="preserve"> characters.</t>
    </r>
  </si>
  <si>
    <t>Ex: Steven</t>
  </si>
  <si>
    <t>Ex: 01/12/2010</t>
  </si>
  <si>
    <t>Ex: 01/02/2011</t>
  </si>
  <si>
    <t>Ex: Yes</t>
  </si>
  <si>
    <t>Ex: 01/12/1975</t>
  </si>
  <si>
    <r>
      <t xml:space="preserve">Not More than </t>
    </r>
    <r>
      <rPr>
        <b/>
        <sz val="10"/>
        <rFont val="Tahoma"/>
        <family val="2"/>
      </rPr>
      <t>50 characters</t>
    </r>
    <r>
      <rPr>
        <sz val="10"/>
        <rFont val="Tahoma"/>
        <family val="2"/>
      </rPr>
      <t>.</t>
    </r>
  </si>
  <si>
    <r>
      <t xml:space="preserve">Enter Either of </t>
    </r>
    <r>
      <rPr>
        <b/>
        <sz val="10"/>
        <rFont val="Tahoma"/>
        <family val="2"/>
      </rPr>
      <t>5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5.5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6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7</t>
    </r>
    <r>
      <rPr>
        <sz val="10"/>
        <rFont val="Tahoma"/>
        <family val="2"/>
      </rPr>
      <t xml:space="preserve">. </t>
    </r>
  </si>
  <si>
    <t>Ex: D</t>
  </si>
  <si>
    <t>Ex: 5</t>
  </si>
  <si>
    <t>Ex: A</t>
  </si>
  <si>
    <t>Ex: SC</t>
  </si>
  <si>
    <t>Ex: M</t>
  </si>
  <si>
    <t>Ex: Chinese</t>
  </si>
  <si>
    <t>Ex: YES</t>
  </si>
  <si>
    <t>Ex: Singaporean</t>
  </si>
  <si>
    <t>S7583580I</t>
  </si>
  <si>
    <t>F3450289I</t>
  </si>
  <si>
    <r>
      <t xml:space="preserve">Enter Either of </t>
    </r>
    <r>
      <rPr>
        <b/>
        <sz val="10"/>
        <rFont val="Tahoma"/>
        <family val="2"/>
      </rPr>
      <t>SC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SPR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DP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EP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SP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OT</t>
    </r>
  </si>
  <si>
    <r>
      <t xml:space="preserve">IF Employee Type is </t>
    </r>
    <r>
      <rPr>
        <b/>
        <sz val="10"/>
        <rFont val="Tahoma"/>
        <family val="2"/>
      </rPr>
      <t>EP</t>
    </r>
    <r>
      <rPr>
        <sz val="10"/>
        <rFont val="Tahoma"/>
        <family val="2"/>
      </rPr>
      <t xml:space="preserve"> OR </t>
    </r>
    <r>
      <rPr>
        <b/>
        <sz val="10"/>
        <rFont val="Tahoma"/>
        <family val="2"/>
      </rPr>
      <t>SP</t>
    </r>
    <r>
      <rPr>
        <sz val="10"/>
        <rFont val="Tahoma"/>
        <family val="2"/>
      </rPr>
      <t xml:space="preserve">  then Enter Valid </t>
    </r>
    <r>
      <rPr>
        <b/>
        <sz val="10"/>
        <rFont val="Tahoma"/>
        <family val="2"/>
      </rPr>
      <t>FIN</t>
    </r>
  </si>
  <si>
    <r>
      <t xml:space="preserve">IF Employee Type is </t>
    </r>
    <r>
      <rPr>
        <b/>
        <sz val="10"/>
        <rFont val="Tahoma"/>
        <family val="2"/>
      </rPr>
      <t>SPR</t>
    </r>
    <r>
      <rPr>
        <sz val="10"/>
        <rFont val="Tahoma"/>
        <family val="2"/>
      </rPr>
      <t xml:space="preserve"> then Enter </t>
    </r>
    <r>
      <rPr>
        <b/>
        <sz val="10"/>
        <rFont val="Tahoma"/>
        <family val="2"/>
      </rPr>
      <t>PR Date</t>
    </r>
  </si>
  <si>
    <t>Definition: Whether employee is entitled for overtime or no</t>
  </si>
  <si>
    <t>Definition: Date of birth of employee</t>
  </si>
  <si>
    <t>Definition: SC: Singapore Citizen, SPR: Singapore PR, DP: Dependent Pass, EP: Employment Pass, SP: S Pass, OT: Others</t>
  </si>
  <si>
    <t>Definition: NRIC</t>
  </si>
  <si>
    <t>Definition: Foreign Identification Number</t>
  </si>
  <si>
    <t>Definition: Date on which Permanent Residence is attained</t>
  </si>
  <si>
    <t>Definition: Enter nationality name</t>
  </si>
  <si>
    <t>Definition: D: Daily, M: Monthy, H: Hourly</t>
  </si>
  <si>
    <t>Definition: 5 working days in the week</t>
  </si>
  <si>
    <t>Definition: A:Automatic, M:Manual</t>
  </si>
  <si>
    <t>Definition: M:Male, F:Female</t>
  </si>
  <si>
    <t>Definition</t>
  </si>
  <si>
    <t>Definition: Employee first name</t>
  </si>
  <si>
    <t>Definition: Employee Joining date</t>
  </si>
  <si>
    <t>Definition: Employee confirmation date</t>
  </si>
  <si>
    <t>Definition: Whether employee is entitled for CPF or no</t>
  </si>
  <si>
    <t>Definition: Employee race</t>
  </si>
  <si>
    <t>TIMECARDNO</t>
  </si>
  <si>
    <t>LASTNAME</t>
  </si>
  <si>
    <t>DEPARTMENT</t>
  </si>
  <si>
    <t>TRADE</t>
  </si>
  <si>
    <t>DESIGNATION</t>
  </si>
  <si>
    <t>PHONE</t>
  </si>
  <si>
    <t>HANDPHONE</t>
  </si>
  <si>
    <t>EMAIL</t>
  </si>
  <si>
    <t>WPNUMBER</t>
  </si>
  <si>
    <t>WPEXPDATE</t>
  </si>
  <si>
    <t>DATEOFBIRTH</t>
  </si>
  <si>
    <t>PASSPORTNO</t>
  </si>
  <si>
    <t>PPISSUEDATE</t>
  </si>
  <si>
    <t>PASSPORTEXPIRY</t>
  </si>
  <si>
    <t>WPAPPLICATIONDATE</t>
  </si>
  <si>
    <t>WPISSUEDATE</t>
  </si>
  <si>
    <t>BLOCKNO</t>
  </si>
  <si>
    <t>UNITNO</t>
  </si>
  <si>
    <t>LEVELNO</t>
  </si>
  <si>
    <t>STREETNAME</t>
  </si>
  <si>
    <t>POSTALCODE</t>
  </si>
  <si>
    <t>PAYFREQUENCY</t>
  </si>
  <si>
    <t>SALARY</t>
  </si>
  <si>
    <t>WDAYPERWEEK</t>
  </si>
  <si>
    <t>HOURLYRATE</t>
  </si>
  <si>
    <t>DAILYRATE</t>
  </si>
  <si>
    <t>MARITALSTATUS</t>
  </si>
  <si>
    <t>SAFETYTYPE1</t>
  </si>
  <si>
    <t>SAFETYPASSNO1</t>
  </si>
  <si>
    <t>SAFETYPASSEXP1</t>
  </si>
  <si>
    <t>RELIGION</t>
  </si>
  <si>
    <t>M</t>
  </si>
  <si>
    <t>COUNTRYOFRESI</t>
  </si>
  <si>
    <t>PROBPERIOD</t>
  </si>
  <si>
    <t>PLACEOFBIRTH</t>
  </si>
  <si>
    <t>EMPLOYEEGROUP</t>
  </si>
  <si>
    <t>PAYMODE</t>
  </si>
  <si>
    <t>GIROACCNO</t>
  </si>
  <si>
    <t>GIROBANK</t>
  </si>
  <si>
    <t>Mizuho</t>
  </si>
  <si>
    <t>GBRANCHCODE</t>
  </si>
  <si>
    <t>GIROACCNAME</t>
  </si>
  <si>
    <t>MONTHLYLEVY</t>
  </si>
  <si>
    <t>Ex: Singapore</t>
  </si>
  <si>
    <t>Ex: 2</t>
  </si>
  <si>
    <t>Ex: Employee</t>
  </si>
  <si>
    <t>Ex: 058428612</t>
  </si>
  <si>
    <t>Ex: 7117</t>
  </si>
  <si>
    <t>OCBC</t>
  </si>
  <si>
    <t>UOB</t>
  </si>
  <si>
    <t>DBS/POSB</t>
  </si>
  <si>
    <t>Deutsche Bank</t>
  </si>
  <si>
    <t>STANDARD CHARTERED BANK</t>
  </si>
  <si>
    <t>ABN AMRO BANK</t>
  </si>
  <si>
    <t>AMERICAN EXPRESS BANK LTD</t>
  </si>
  <si>
    <t>BANGKOK BANK PUBLIC CO LTD</t>
  </si>
  <si>
    <t>BANK OF AMERICA</t>
  </si>
  <si>
    <t>BANK OF CHINA LIMITED</t>
  </si>
  <si>
    <t>BANK OF INDIA</t>
  </si>
  <si>
    <t>BANK OF SINGAPORE LTD</t>
  </si>
  <si>
    <t>BNP PARIBAS</t>
  </si>
  <si>
    <t>CALYON</t>
  </si>
  <si>
    <t>CIMB BANK BERHAD</t>
  </si>
  <si>
    <t>CITIBANK</t>
  </si>
  <si>
    <t>DNB NOR BANK ASA</t>
  </si>
  <si>
    <t>DRESDNER BANK AG</t>
  </si>
  <si>
    <t>FIRST COMMERCIAL BANK</t>
  </si>
  <si>
    <t>HL BANK</t>
  </si>
  <si>
    <t>INDIAN BANK</t>
  </si>
  <si>
    <t>INDIAN OVERSEAS BANK</t>
  </si>
  <si>
    <t>INTESA SANPAOLO S.P.A</t>
  </si>
  <si>
    <t>JPMORGAN CHASE BANK</t>
  </si>
  <si>
    <t>KOREA EXCHANGE BANK</t>
  </si>
  <si>
    <t>MALAYAN BANKING BERHAD</t>
  </si>
  <si>
    <t>NORDEA BANK FINLAND PLC</t>
  </si>
  <si>
    <t>PT BANK NEGARA INDONESIA (PERSERO) TBK</t>
  </si>
  <si>
    <t>RHB BANK BERHAD</t>
  </si>
  <si>
    <t>SKANDINAVISKA ENSKILDA BANKEN</t>
  </si>
  <si>
    <t>SOCIETE GENERALE</t>
  </si>
  <si>
    <t>STATE BANK OF INDIA</t>
  </si>
  <si>
    <t>SUMITOMO MITSUI BANKING CORPORATION</t>
  </si>
  <si>
    <t>SVENSKA HANDELSBANKEN AB (PUBL)</t>
  </si>
  <si>
    <t>THE BANK OF EAST ASIA LTD</t>
  </si>
  <si>
    <t>THE BANK OF TOKYO-MITSUBISHI UFJ LTD</t>
  </si>
  <si>
    <t>THE HONG KONG AND SHANGHAI BANKING CORPORATION LTD</t>
  </si>
  <si>
    <t>UCO BANK</t>
  </si>
  <si>
    <t>FAR EASTERN BANK</t>
  </si>
  <si>
    <t>MAY BANK</t>
  </si>
  <si>
    <t>BANK CODE</t>
  </si>
  <si>
    <t>BANK NAME</t>
  </si>
  <si>
    <t>Ex: 123</t>
  </si>
  <si>
    <t>Ex: Steven Goh</t>
  </si>
  <si>
    <t>Ex: 150</t>
  </si>
  <si>
    <t>Definition: Employee Monthly Levy.</t>
  </si>
  <si>
    <t>Definition: Employees Giro Account Name {Generally Employee name in bank}.</t>
  </si>
  <si>
    <t>Definition: Employees Giro Branch Code.</t>
  </si>
  <si>
    <t>Definition: Employee Bank Code {Refer to Sheet Bank Codes in same worksheet}.</t>
  </si>
  <si>
    <t>Definition: Employees Giro Bank Account.</t>
  </si>
  <si>
    <t>Definition: Salary payment mode for employee.</t>
  </si>
  <si>
    <t>Definition: Sorting employees into different groups for leave and other activities.</t>
  </si>
  <si>
    <t>Definition: Country of Birth.</t>
  </si>
  <si>
    <t>Definition: Number of months of propbabtion.</t>
  </si>
  <si>
    <t>Definition: Country of Residence.</t>
  </si>
  <si>
    <t>Definition: All the entries you need to import should have YES.</t>
  </si>
  <si>
    <t>Notes: Will need to create the departments in the system before importing</t>
  </si>
  <si>
    <t>Notes: Will need to create the Trade in the system before importing</t>
  </si>
  <si>
    <t>Notes: Will need to create the Designations in the system before importing</t>
  </si>
  <si>
    <t>Ex: Cash, Cheque</t>
  </si>
  <si>
    <t>DATE OF BIRTH</t>
  </si>
  <si>
    <t>PAY FREQUENCY</t>
  </si>
  <si>
    <t>WDAY PER WEEK</t>
  </si>
  <si>
    <t>HOURLY RATE</t>
  </si>
  <si>
    <t>Ex: 4</t>
  </si>
  <si>
    <t>Definition: Enter the dollar value for the hourly rate.</t>
  </si>
  <si>
    <t>DAILY RATE</t>
  </si>
  <si>
    <t>Ex: 18</t>
  </si>
  <si>
    <t>Definition: Enter the dollar value for the Daily rate.</t>
  </si>
  <si>
    <t>This field is mandatory if 'DAILYRATEMODE' is manual</t>
  </si>
  <si>
    <t>AAAAAB/+el8=</t>
  </si>
  <si>
    <t>MONTHLY SALARY</t>
  </si>
  <si>
    <t>Ex: 3000</t>
  </si>
  <si>
    <t>Definition: Enter the dollar value for the monthly salary</t>
  </si>
  <si>
    <t>Enter the monthly salary of the employee</t>
  </si>
  <si>
    <t>The following are definition of all fields including mandatory fields with explanation.                                                                   {Version 13022012 - 56 fields}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</si>
</sst>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vertical="center" wrapText="1"/>
    </xf>
    <xf numFmtId="0" fontId="45" fillId="34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6" fillId="34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9"/>
  <sheetViews>
    <sheetView tabSelected="1" zoomScalePageLayoutView="0" workbookViewId="0" topLeftCell="A58">
      <selection activeCell="A2" sqref="A2:G2"/>
    </sheetView>
  </sheetViews>
  <sheetFormatPr defaultColWidth="9.140625" defaultRowHeight="12.75"/>
  <cols>
    <col min="1" max="1" width="4.28125" style="1" customWidth="1"/>
    <col min="2" max="2" width="4.421875" style="7" customWidth="1"/>
    <col min="3" max="3" width="19.421875" style="1" bestFit="1" customWidth="1"/>
    <col min="4" max="4" width="18.421875" style="1" customWidth="1"/>
    <col min="5" max="5" width="51.28125" style="1" bestFit="1" customWidth="1"/>
    <col min="6" max="6" width="19.8515625" style="16" customWidth="1"/>
    <col min="7" max="7" width="54.28125" style="1" customWidth="1"/>
    <col min="8" max="16384" width="9.140625" style="1" customWidth="1"/>
  </cols>
  <sheetData>
    <row r="1" spans="1:7" ht="28.5" customHeight="1">
      <c r="A1" s="23" t="s">
        <v>18</v>
      </c>
      <c r="B1" s="23"/>
      <c r="C1" s="23"/>
      <c r="D1" s="23"/>
      <c r="E1" s="23"/>
      <c r="F1" s="23"/>
      <c r="G1" s="23"/>
    </row>
    <row r="2" spans="1:7" ht="28.5" customHeight="1">
      <c r="A2" s="24" t="s">
        <v>189</v>
      </c>
      <c r="B2" s="24"/>
      <c r="C2" s="25"/>
      <c r="D2" s="25"/>
      <c r="E2" s="25"/>
      <c r="F2" s="25"/>
      <c r="G2" s="25"/>
    </row>
    <row r="3" spans="1:7" ht="15" customHeight="1">
      <c r="A3" s="17" t="s">
        <v>19</v>
      </c>
      <c r="B3" s="17"/>
      <c r="C3" s="14" t="s">
        <v>2</v>
      </c>
      <c r="D3" s="14" t="s">
        <v>4</v>
      </c>
      <c r="E3" s="14" t="s">
        <v>5</v>
      </c>
      <c r="F3" s="14" t="s">
        <v>20</v>
      </c>
      <c r="G3" s="14" t="s">
        <v>60</v>
      </c>
    </row>
    <row r="4" spans="1:7" ht="30" customHeight="1">
      <c r="A4" s="2">
        <v>1</v>
      </c>
      <c r="B4" s="2"/>
      <c r="C4" s="3" t="s">
        <v>66</v>
      </c>
      <c r="D4" s="3"/>
      <c r="E4" s="4"/>
      <c r="F4" s="15"/>
      <c r="G4" s="5"/>
    </row>
    <row r="5" spans="1:7" ht="30" customHeight="1">
      <c r="A5" s="2">
        <v>2</v>
      </c>
      <c r="B5" s="6" t="s">
        <v>97</v>
      </c>
      <c r="C5" s="3" t="s">
        <v>6</v>
      </c>
      <c r="D5" s="3" t="s">
        <v>6</v>
      </c>
      <c r="E5" s="13" t="s">
        <v>21</v>
      </c>
      <c r="F5" s="15" t="s">
        <v>29</v>
      </c>
      <c r="G5" s="5" t="s">
        <v>61</v>
      </c>
    </row>
    <row r="6" spans="1:7" ht="30" customHeight="1">
      <c r="A6" s="2">
        <v>3</v>
      </c>
      <c r="B6" s="2"/>
      <c r="C6" s="3" t="s">
        <v>67</v>
      </c>
      <c r="D6" s="3"/>
      <c r="E6" s="4"/>
      <c r="F6" s="15"/>
      <c r="G6" s="5"/>
    </row>
    <row r="7" spans="1:7" ht="30" customHeight="1">
      <c r="A7" s="2">
        <v>4</v>
      </c>
      <c r="B7" s="2"/>
      <c r="C7" s="3" t="s">
        <v>68</v>
      </c>
      <c r="D7" s="3"/>
      <c r="E7" s="4"/>
      <c r="F7" s="15"/>
      <c r="G7" s="5" t="s">
        <v>170</v>
      </c>
    </row>
    <row r="8" spans="1:7" ht="30" customHeight="1">
      <c r="A8" s="2">
        <v>5</v>
      </c>
      <c r="B8" s="2"/>
      <c r="C8" s="3" t="s">
        <v>69</v>
      </c>
      <c r="D8" s="3"/>
      <c r="E8" s="4"/>
      <c r="F8" s="15"/>
      <c r="G8" s="5" t="s">
        <v>171</v>
      </c>
    </row>
    <row r="9" spans="1:7" ht="30" customHeight="1">
      <c r="A9" s="2">
        <v>6</v>
      </c>
      <c r="B9" s="2"/>
      <c r="C9" s="3" t="s">
        <v>70</v>
      </c>
      <c r="D9" s="3"/>
      <c r="E9" s="4"/>
      <c r="F9" s="15"/>
      <c r="G9" s="5" t="s">
        <v>172</v>
      </c>
    </row>
    <row r="10" spans="1:7" ht="30" customHeight="1">
      <c r="A10" s="2">
        <v>7</v>
      </c>
      <c r="B10" s="2"/>
      <c r="C10" s="3" t="s">
        <v>71</v>
      </c>
      <c r="D10" s="3"/>
      <c r="E10" s="4"/>
      <c r="F10" s="15"/>
      <c r="G10" s="5"/>
    </row>
    <row r="11" spans="1:7" ht="30" customHeight="1">
      <c r="A11" s="2">
        <v>8</v>
      </c>
      <c r="B11" s="2"/>
      <c r="C11" s="3" t="s">
        <v>72</v>
      </c>
      <c r="D11" s="3"/>
      <c r="E11" s="4"/>
      <c r="F11" s="15"/>
      <c r="G11" s="5"/>
    </row>
    <row r="12" spans="1:7" ht="30" customHeight="1">
      <c r="A12" s="2">
        <v>9</v>
      </c>
      <c r="B12" s="2"/>
      <c r="C12" s="3" t="s">
        <v>73</v>
      </c>
      <c r="D12" s="3"/>
      <c r="E12" s="4"/>
      <c r="F12" s="15"/>
      <c r="G12" s="5"/>
    </row>
    <row r="13" spans="1:7" ht="30" customHeight="1">
      <c r="A13" s="2">
        <v>10</v>
      </c>
      <c r="B13" s="6" t="s">
        <v>97</v>
      </c>
      <c r="C13" s="3" t="s">
        <v>7</v>
      </c>
      <c r="D13" s="3" t="s">
        <v>7</v>
      </c>
      <c r="E13" s="4" t="s">
        <v>22</v>
      </c>
      <c r="F13" s="15" t="s">
        <v>31</v>
      </c>
      <c r="G13" s="5" t="s">
        <v>63</v>
      </c>
    </row>
    <row r="14" spans="1:7" ht="30" customHeight="1">
      <c r="A14" s="2">
        <v>11</v>
      </c>
      <c r="B14" s="6" t="s">
        <v>97</v>
      </c>
      <c r="C14" s="3" t="s">
        <v>8</v>
      </c>
      <c r="D14" s="3" t="s">
        <v>8</v>
      </c>
      <c r="E14" s="4" t="s">
        <v>23</v>
      </c>
      <c r="F14" s="15" t="s">
        <v>32</v>
      </c>
      <c r="G14" s="5" t="s">
        <v>64</v>
      </c>
    </row>
    <row r="15" spans="1:7" ht="30" customHeight="1">
      <c r="A15" s="2">
        <v>12</v>
      </c>
      <c r="B15" s="6" t="s">
        <v>97</v>
      </c>
      <c r="C15" s="3" t="s">
        <v>9</v>
      </c>
      <c r="D15" s="3" t="s">
        <v>9</v>
      </c>
      <c r="E15" s="4" t="s">
        <v>23</v>
      </c>
      <c r="F15" s="15" t="s">
        <v>32</v>
      </c>
      <c r="G15" s="5" t="s">
        <v>49</v>
      </c>
    </row>
    <row r="16" spans="1:7" ht="30" customHeight="1">
      <c r="A16" s="2">
        <v>13</v>
      </c>
      <c r="B16" s="2"/>
      <c r="C16" s="3" t="s">
        <v>74</v>
      </c>
      <c r="D16" s="3"/>
      <c r="E16" s="4"/>
      <c r="F16" s="15"/>
      <c r="G16" s="5"/>
    </row>
    <row r="17" spans="1:7" ht="30" customHeight="1">
      <c r="A17" s="2">
        <v>14</v>
      </c>
      <c r="B17" s="2"/>
      <c r="C17" s="3" t="s">
        <v>75</v>
      </c>
      <c r="D17" s="3"/>
      <c r="E17" s="4"/>
      <c r="F17" s="15"/>
      <c r="G17" s="5"/>
    </row>
    <row r="18" spans="1:7" ht="30" customHeight="1">
      <c r="A18" s="2">
        <v>15</v>
      </c>
      <c r="B18" s="6" t="s">
        <v>97</v>
      </c>
      <c r="C18" s="3" t="s">
        <v>10</v>
      </c>
      <c r="D18" s="3" t="s">
        <v>10</v>
      </c>
      <c r="E18" s="4" t="s">
        <v>46</v>
      </c>
      <c r="F18" s="15" t="s">
        <v>39</v>
      </c>
      <c r="G18" s="5" t="s">
        <v>51</v>
      </c>
    </row>
    <row r="19" spans="1:7" ht="30" customHeight="1">
      <c r="A19" s="2">
        <v>16</v>
      </c>
      <c r="B19" s="6" t="s">
        <v>97</v>
      </c>
      <c r="C19" s="3" t="s">
        <v>0</v>
      </c>
      <c r="D19" s="3" t="s">
        <v>0</v>
      </c>
      <c r="E19" s="4" t="s">
        <v>24</v>
      </c>
      <c r="F19" s="15" t="s">
        <v>44</v>
      </c>
      <c r="G19" s="5" t="s">
        <v>52</v>
      </c>
    </row>
    <row r="20" spans="1:7" ht="30" customHeight="1">
      <c r="A20" s="2">
        <v>17</v>
      </c>
      <c r="B20" s="6" t="s">
        <v>97</v>
      </c>
      <c r="C20" s="3" t="s">
        <v>1</v>
      </c>
      <c r="D20" s="3" t="s">
        <v>1</v>
      </c>
      <c r="E20" s="4" t="s">
        <v>47</v>
      </c>
      <c r="F20" s="15" t="s">
        <v>45</v>
      </c>
      <c r="G20" s="5" t="s">
        <v>53</v>
      </c>
    </row>
    <row r="21" spans="1:7" ht="30" customHeight="1">
      <c r="A21" s="2">
        <v>18</v>
      </c>
      <c r="B21" s="6" t="s">
        <v>97</v>
      </c>
      <c r="C21" s="3" t="s">
        <v>11</v>
      </c>
      <c r="D21" s="3" t="s">
        <v>11</v>
      </c>
      <c r="E21" s="4" t="s">
        <v>48</v>
      </c>
      <c r="F21" s="15" t="s">
        <v>31</v>
      </c>
      <c r="G21" s="5" t="s">
        <v>54</v>
      </c>
    </row>
    <row r="22" spans="1:7" ht="30" customHeight="1">
      <c r="A22" s="2">
        <v>19</v>
      </c>
      <c r="B22" s="6" t="s">
        <v>97</v>
      </c>
      <c r="C22" s="3" t="s">
        <v>76</v>
      </c>
      <c r="D22" s="3" t="s">
        <v>174</v>
      </c>
      <c r="E22" s="4" t="s">
        <v>22</v>
      </c>
      <c r="F22" s="15" t="s">
        <v>33</v>
      </c>
      <c r="G22" s="5" t="s">
        <v>50</v>
      </c>
    </row>
    <row r="23" spans="1:7" ht="30" customHeight="1">
      <c r="A23" s="2">
        <v>20</v>
      </c>
      <c r="B23" s="2"/>
      <c r="C23" s="3" t="s">
        <v>77</v>
      </c>
      <c r="D23" s="3"/>
      <c r="E23" s="4"/>
      <c r="F23" s="15"/>
      <c r="G23" s="5"/>
    </row>
    <row r="24" spans="1:7" ht="30" customHeight="1">
      <c r="A24" s="2">
        <v>21</v>
      </c>
      <c r="B24" s="2"/>
      <c r="C24" s="3" t="s">
        <v>78</v>
      </c>
      <c r="D24" s="3"/>
      <c r="E24" s="4"/>
      <c r="F24" s="15"/>
      <c r="G24" s="5"/>
    </row>
    <row r="25" spans="1:7" ht="30" customHeight="1">
      <c r="A25" s="2">
        <v>22</v>
      </c>
      <c r="B25" s="2"/>
      <c r="C25" s="3" t="s">
        <v>79</v>
      </c>
      <c r="D25" s="3"/>
      <c r="E25" s="4"/>
      <c r="F25" s="15"/>
      <c r="G25" s="5"/>
    </row>
    <row r="26" spans="1:7" ht="30" customHeight="1">
      <c r="A26" s="2">
        <v>23</v>
      </c>
      <c r="B26" s="6" t="s">
        <v>97</v>
      </c>
      <c r="C26" s="3" t="s">
        <v>12</v>
      </c>
      <c r="D26" s="3" t="s">
        <v>12</v>
      </c>
      <c r="E26" s="4" t="s">
        <v>34</v>
      </c>
      <c r="F26" s="15" t="s">
        <v>43</v>
      </c>
      <c r="G26" s="5" t="s">
        <v>55</v>
      </c>
    </row>
    <row r="27" spans="1:7" ht="30" customHeight="1">
      <c r="A27" s="2">
        <v>24</v>
      </c>
      <c r="B27" s="6" t="s">
        <v>97</v>
      </c>
      <c r="C27" s="3" t="s">
        <v>13</v>
      </c>
      <c r="D27" s="3" t="s">
        <v>13</v>
      </c>
      <c r="E27" s="4" t="s">
        <v>22</v>
      </c>
      <c r="F27" s="15" t="s">
        <v>30</v>
      </c>
      <c r="G27" s="5" t="s">
        <v>62</v>
      </c>
    </row>
    <row r="28" spans="1:7" ht="30" customHeight="1">
      <c r="A28" s="2">
        <v>25</v>
      </c>
      <c r="B28" s="2"/>
      <c r="C28" s="3" t="s">
        <v>80</v>
      </c>
      <c r="D28" s="3"/>
      <c r="E28" s="4"/>
      <c r="F28" s="15"/>
      <c r="G28" s="5"/>
    </row>
    <row r="29" spans="1:7" ht="30" customHeight="1">
      <c r="A29" s="2">
        <v>26</v>
      </c>
      <c r="B29" s="2"/>
      <c r="C29" s="3" t="s">
        <v>81</v>
      </c>
      <c r="D29" s="3"/>
      <c r="E29" s="4"/>
      <c r="F29" s="15"/>
      <c r="G29" s="5"/>
    </row>
    <row r="30" spans="1:7" ht="30" customHeight="1">
      <c r="A30" s="2">
        <v>27</v>
      </c>
      <c r="B30" s="2"/>
      <c r="C30" s="3" t="s">
        <v>82</v>
      </c>
      <c r="D30" s="3"/>
      <c r="E30" s="4"/>
      <c r="F30" s="15"/>
      <c r="G30" s="5"/>
    </row>
    <row r="31" spans="1:7" ht="30" customHeight="1">
      <c r="A31" s="2">
        <v>28</v>
      </c>
      <c r="B31" s="2"/>
      <c r="C31" s="3" t="s">
        <v>83</v>
      </c>
      <c r="D31" s="3"/>
      <c r="E31" s="4"/>
      <c r="F31" s="15"/>
      <c r="G31" s="5"/>
    </row>
    <row r="32" spans="1:7" ht="30" customHeight="1">
      <c r="A32" s="2">
        <v>29</v>
      </c>
      <c r="B32" s="2"/>
      <c r="C32" s="3" t="s">
        <v>84</v>
      </c>
      <c r="D32" s="3"/>
      <c r="E32" s="4"/>
      <c r="F32" s="15"/>
      <c r="G32" s="5"/>
    </row>
    <row r="33" spans="1:7" ht="30" customHeight="1">
      <c r="A33" s="2">
        <v>30</v>
      </c>
      <c r="B33" s="2"/>
      <c r="C33" s="3" t="s">
        <v>85</v>
      </c>
      <c r="D33" s="3"/>
      <c r="E33" s="4"/>
      <c r="F33" s="15"/>
      <c r="G33" s="5"/>
    </row>
    <row r="34" spans="1:7" ht="30" customHeight="1">
      <c r="A34" s="2">
        <v>31</v>
      </c>
      <c r="B34" s="2"/>
      <c r="C34" s="3" t="s">
        <v>86</v>
      </c>
      <c r="D34" s="3"/>
      <c r="E34" s="4"/>
      <c r="F34" s="15"/>
      <c r="G34" s="5"/>
    </row>
    <row r="35" spans="1:7" ht="30" customHeight="1">
      <c r="A35" s="2">
        <v>32</v>
      </c>
      <c r="B35" s="6" t="s">
        <v>97</v>
      </c>
      <c r="C35" s="3" t="s">
        <v>87</v>
      </c>
      <c r="D35" s="3" t="s">
        <v>175</v>
      </c>
      <c r="E35" s="4" t="s">
        <v>25</v>
      </c>
      <c r="F35" s="15" t="s">
        <v>36</v>
      </c>
      <c r="G35" s="5" t="s">
        <v>56</v>
      </c>
    </row>
    <row r="36" spans="1:7" ht="30" customHeight="1">
      <c r="A36" s="2">
        <v>33</v>
      </c>
      <c r="B36" s="6" t="s">
        <v>97</v>
      </c>
      <c r="C36" s="3" t="s">
        <v>88</v>
      </c>
      <c r="D36" s="3" t="s">
        <v>185</v>
      </c>
      <c r="E36" s="4" t="s">
        <v>188</v>
      </c>
      <c r="F36" s="15" t="s">
        <v>186</v>
      </c>
      <c r="G36" s="21" t="s">
        <v>187</v>
      </c>
    </row>
    <row r="37" spans="1:7" ht="30" customHeight="1">
      <c r="A37" s="2">
        <v>34</v>
      </c>
      <c r="B37" s="6" t="s">
        <v>97</v>
      </c>
      <c r="C37" s="3" t="s">
        <v>89</v>
      </c>
      <c r="D37" s="3" t="s">
        <v>176</v>
      </c>
      <c r="E37" s="4" t="s">
        <v>35</v>
      </c>
      <c r="F37" s="15" t="s">
        <v>37</v>
      </c>
      <c r="G37" s="5" t="s">
        <v>57</v>
      </c>
    </row>
    <row r="38" spans="1:7" ht="30" customHeight="1">
      <c r="A38" s="2">
        <v>35</v>
      </c>
      <c r="B38" s="6" t="s">
        <v>97</v>
      </c>
      <c r="C38" s="3" t="s">
        <v>14</v>
      </c>
      <c r="D38" s="3" t="s">
        <v>14</v>
      </c>
      <c r="E38" s="4" t="s">
        <v>26</v>
      </c>
      <c r="F38" s="15" t="s">
        <v>38</v>
      </c>
      <c r="G38" s="5" t="s">
        <v>58</v>
      </c>
    </row>
    <row r="39" spans="1:7" ht="30" customHeight="1">
      <c r="A39" s="2">
        <v>36</v>
      </c>
      <c r="B39" s="18"/>
      <c r="C39" s="19" t="s">
        <v>90</v>
      </c>
      <c r="D39" s="19" t="s">
        <v>177</v>
      </c>
      <c r="E39" s="22" t="s">
        <v>183</v>
      </c>
      <c r="F39" s="20" t="s">
        <v>178</v>
      </c>
      <c r="G39" s="21" t="s">
        <v>179</v>
      </c>
    </row>
    <row r="40" spans="1:7" ht="30" customHeight="1">
      <c r="A40" s="2">
        <v>37</v>
      </c>
      <c r="B40" s="6" t="s">
        <v>97</v>
      </c>
      <c r="C40" s="3" t="s">
        <v>15</v>
      </c>
      <c r="D40" s="3" t="s">
        <v>15</v>
      </c>
      <c r="E40" s="4" t="s">
        <v>26</v>
      </c>
      <c r="F40" s="15" t="s">
        <v>38</v>
      </c>
      <c r="G40" s="5" t="s">
        <v>58</v>
      </c>
    </row>
    <row r="41" spans="1:7" ht="30" customHeight="1">
      <c r="A41" s="2">
        <v>38</v>
      </c>
      <c r="B41" s="18"/>
      <c r="C41" s="19" t="s">
        <v>91</v>
      </c>
      <c r="D41" s="19" t="s">
        <v>180</v>
      </c>
      <c r="E41" s="22" t="s">
        <v>183</v>
      </c>
      <c r="F41" s="20" t="s">
        <v>181</v>
      </c>
      <c r="G41" s="21" t="s">
        <v>182</v>
      </c>
    </row>
    <row r="42" spans="1:7" ht="30" customHeight="1">
      <c r="A42" s="2">
        <v>39</v>
      </c>
      <c r="B42" s="6" t="s">
        <v>97</v>
      </c>
      <c r="C42" s="3" t="s">
        <v>16</v>
      </c>
      <c r="D42" s="3" t="s">
        <v>16</v>
      </c>
      <c r="E42" s="4" t="s">
        <v>27</v>
      </c>
      <c r="F42" s="15" t="s">
        <v>40</v>
      </c>
      <c r="G42" s="5" t="s">
        <v>59</v>
      </c>
    </row>
    <row r="43" spans="1:7" ht="30" customHeight="1">
      <c r="A43" s="2">
        <v>40</v>
      </c>
      <c r="B43" s="2"/>
      <c r="C43" s="3" t="s">
        <v>92</v>
      </c>
      <c r="D43" s="3"/>
      <c r="E43" s="4"/>
      <c r="F43" s="15"/>
      <c r="G43" s="5"/>
    </row>
    <row r="44" spans="1:7" ht="30" customHeight="1">
      <c r="A44" s="2">
        <v>41</v>
      </c>
      <c r="B44" s="6" t="s">
        <v>97</v>
      </c>
      <c r="C44" s="3" t="s">
        <v>17</v>
      </c>
      <c r="D44" s="3" t="s">
        <v>17</v>
      </c>
      <c r="E44" s="4" t="s">
        <v>28</v>
      </c>
      <c r="F44" s="15" t="s">
        <v>41</v>
      </c>
      <c r="G44" s="5" t="s">
        <v>65</v>
      </c>
    </row>
    <row r="45" spans="1:7" ht="30" customHeight="1">
      <c r="A45" s="2">
        <v>42</v>
      </c>
      <c r="B45" s="2"/>
      <c r="C45" s="3" t="s">
        <v>93</v>
      </c>
      <c r="D45" s="3"/>
      <c r="E45" s="4"/>
      <c r="F45" s="15"/>
      <c r="G45" s="5"/>
    </row>
    <row r="46" spans="1:7" ht="30" customHeight="1">
      <c r="A46" s="2">
        <v>43</v>
      </c>
      <c r="B46" s="2"/>
      <c r="C46" s="3" t="s">
        <v>94</v>
      </c>
      <c r="D46" s="3"/>
      <c r="E46" s="4"/>
      <c r="F46" s="15"/>
      <c r="G46" s="5"/>
    </row>
    <row r="47" spans="1:7" ht="30" customHeight="1">
      <c r="A47" s="2">
        <v>44</v>
      </c>
      <c r="B47" s="2"/>
      <c r="C47" s="3" t="s">
        <v>95</v>
      </c>
      <c r="D47" s="3"/>
      <c r="E47" s="4"/>
      <c r="F47" s="15"/>
      <c r="G47" s="5"/>
    </row>
    <row r="48" spans="1:7" ht="30" customHeight="1">
      <c r="A48" s="2">
        <v>45</v>
      </c>
      <c r="B48" s="2"/>
      <c r="C48" s="3" t="s">
        <v>96</v>
      </c>
      <c r="D48" s="3"/>
      <c r="E48" s="4"/>
      <c r="F48" s="15"/>
      <c r="G48" s="5"/>
    </row>
    <row r="49" spans="1:7" ht="30" customHeight="1">
      <c r="A49" s="2">
        <v>46</v>
      </c>
      <c r="B49" s="6" t="s">
        <v>97</v>
      </c>
      <c r="C49" s="3" t="s">
        <v>3</v>
      </c>
      <c r="D49" s="3" t="s">
        <v>3</v>
      </c>
      <c r="E49" s="4"/>
      <c r="F49" s="15" t="s">
        <v>42</v>
      </c>
      <c r="G49" s="5" t="s">
        <v>169</v>
      </c>
    </row>
    <row r="50" spans="1:7" ht="30" customHeight="1">
      <c r="A50" s="2">
        <v>47</v>
      </c>
      <c r="B50" s="6"/>
      <c r="C50" s="3" t="s">
        <v>98</v>
      </c>
      <c r="D50" s="3"/>
      <c r="E50" s="4"/>
      <c r="F50" s="15" t="s">
        <v>109</v>
      </c>
      <c r="G50" s="5" t="s">
        <v>168</v>
      </c>
    </row>
    <row r="51" spans="1:7" ht="30" customHeight="1">
      <c r="A51" s="2">
        <v>48</v>
      </c>
      <c r="B51" s="6"/>
      <c r="C51" s="3" t="s">
        <v>99</v>
      </c>
      <c r="D51" s="3"/>
      <c r="E51" s="4"/>
      <c r="F51" s="15" t="s">
        <v>110</v>
      </c>
      <c r="G51" s="5" t="s">
        <v>167</v>
      </c>
    </row>
    <row r="52" spans="1:7" ht="30" customHeight="1">
      <c r="A52" s="2">
        <v>49</v>
      </c>
      <c r="B52" s="6"/>
      <c r="C52" s="3" t="s">
        <v>100</v>
      </c>
      <c r="D52" s="3"/>
      <c r="E52" s="4"/>
      <c r="F52" s="15" t="s">
        <v>109</v>
      </c>
      <c r="G52" s="5" t="s">
        <v>166</v>
      </c>
    </row>
    <row r="53" spans="1:7" ht="30" customHeight="1">
      <c r="A53" s="2">
        <v>50</v>
      </c>
      <c r="B53" s="6"/>
      <c r="C53" s="3" t="s">
        <v>101</v>
      </c>
      <c r="D53" s="3"/>
      <c r="E53" s="4"/>
      <c r="F53" s="15" t="s">
        <v>111</v>
      </c>
      <c r="G53" s="5" t="s">
        <v>165</v>
      </c>
    </row>
    <row r="54" spans="1:7" ht="30" customHeight="1">
      <c r="A54" s="2">
        <v>51</v>
      </c>
      <c r="B54" s="6" t="s">
        <v>97</v>
      </c>
      <c r="C54" s="3" t="s">
        <v>102</v>
      </c>
      <c r="D54" s="3"/>
      <c r="E54" s="4"/>
      <c r="F54" s="15" t="s">
        <v>173</v>
      </c>
      <c r="G54" s="5" t="s">
        <v>164</v>
      </c>
    </row>
    <row r="55" spans="1:7" ht="30" customHeight="1">
      <c r="A55" s="2">
        <v>52</v>
      </c>
      <c r="B55" s="6"/>
      <c r="C55" s="3" t="s">
        <v>103</v>
      </c>
      <c r="D55" s="3"/>
      <c r="E55" s="4"/>
      <c r="F55" s="15" t="s">
        <v>112</v>
      </c>
      <c r="G55" s="5" t="s">
        <v>163</v>
      </c>
    </row>
    <row r="56" spans="1:7" ht="30" customHeight="1">
      <c r="A56" s="2">
        <v>53</v>
      </c>
      <c r="B56" s="6"/>
      <c r="C56" s="3" t="s">
        <v>104</v>
      </c>
      <c r="D56" s="3"/>
      <c r="E56" s="4"/>
      <c r="F56" s="15" t="s">
        <v>113</v>
      </c>
      <c r="G56" s="5" t="s">
        <v>162</v>
      </c>
    </row>
    <row r="57" spans="1:7" ht="30" customHeight="1">
      <c r="A57" s="2">
        <v>54</v>
      </c>
      <c r="B57" s="6"/>
      <c r="C57" s="3" t="s">
        <v>106</v>
      </c>
      <c r="D57" s="3"/>
      <c r="E57" s="4"/>
      <c r="F57" s="15" t="s">
        <v>156</v>
      </c>
      <c r="G57" s="5" t="s">
        <v>161</v>
      </c>
    </row>
    <row r="58" spans="1:7" ht="30" customHeight="1">
      <c r="A58" s="2">
        <v>55</v>
      </c>
      <c r="B58" s="6"/>
      <c r="C58" s="3" t="s">
        <v>107</v>
      </c>
      <c r="D58" s="3"/>
      <c r="E58" s="4"/>
      <c r="F58" s="15" t="s">
        <v>157</v>
      </c>
      <c r="G58" s="5" t="s">
        <v>160</v>
      </c>
    </row>
    <row r="59" spans="1:7" ht="30" customHeight="1">
      <c r="A59" s="2">
        <v>56</v>
      </c>
      <c r="B59" s="6"/>
      <c r="C59" s="3" t="s">
        <v>108</v>
      </c>
      <c r="D59" s="3"/>
      <c r="E59" s="4"/>
      <c r="F59" s="15" t="s">
        <v>158</v>
      </c>
      <c r="G59" s="5" t="s">
        <v>159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28125" style="12" customWidth="1"/>
    <col min="2" max="2" width="60.421875" style="8" customWidth="1"/>
  </cols>
  <sheetData>
    <row r="1" spans="1:2" ht="25.5" customHeight="1">
      <c r="A1" s="10" t="s">
        <v>154</v>
      </c>
      <c r="B1" s="10" t="s">
        <v>155</v>
      </c>
    </row>
    <row r="2" spans="1:2" ht="15" customHeight="1">
      <c r="A2" s="11">
        <v>7010</v>
      </c>
      <c r="B2" s="9" t="s">
        <v>119</v>
      </c>
    </row>
    <row r="3" spans="1:2" ht="15" customHeight="1">
      <c r="A3" s="11">
        <v>7454</v>
      </c>
      <c r="B3" s="9" t="s">
        <v>120</v>
      </c>
    </row>
    <row r="4" spans="1:2" ht="15" customHeight="1">
      <c r="A4" s="11">
        <v>7047</v>
      </c>
      <c r="B4" s="9" t="s">
        <v>121</v>
      </c>
    </row>
    <row r="5" spans="1:2" ht="15" customHeight="1">
      <c r="A5" s="11">
        <v>7065</v>
      </c>
      <c r="B5" s="9" t="s">
        <v>122</v>
      </c>
    </row>
    <row r="6" spans="1:2" ht="15" customHeight="1">
      <c r="A6" s="11">
        <v>7083</v>
      </c>
      <c r="B6" s="9" t="s">
        <v>123</v>
      </c>
    </row>
    <row r="7" spans="1:2" ht="15" customHeight="1">
      <c r="A7" s="11">
        <v>7108</v>
      </c>
      <c r="B7" s="9" t="s">
        <v>124</v>
      </c>
    </row>
    <row r="8" spans="1:2" ht="15" customHeight="1">
      <c r="A8" s="11">
        <v>7117</v>
      </c>
      <c r="B8" s="9" t="s">
        <v>125</v>
      </c>
    </row>
    <row r="9" spans="1:2" ht="15" customHeight="1">
      <c r="A9" s="11">
        <v>7418</v>
      </c>
      <c r="B9" s="9" t="s">
        <v>126</v>
      </c>
    </row>
    <row r="10" spans="1:2" ht="15" customHeight="1">
      <c r="A10" s="11">
        <v>7135</v>
      </c>
      <c r="B10" s="9" t="s">
        <v>127</v>
      </c>
    </row>
    <row r="11" spans="1:2" ht="15" customHeight="1">
      <c r="A11" s="11">
        <v>7986</v>
      </c>
      <c r="B11" s="9" t="s">
        <v>128</v>
      </c>
    </row>
    <row r="12" spans="1:2" ht="15" customHeight="1">
      <c r="A12" s="11">
        <v>7214</v>
      </c>
      <c r="B12" s="9" t="s">
        <v>129</v>
      </c>
    </row>
    <row r="13" spans="1:2" ht="15" customHeight="1">
      <c r="A13" s="11">
        <v>7171</v>
      </c>
      <c r="B13" s="9" t="s">
        <v>116</v>
      </c>
    </row>
    <row r="14" spans="1:2" ht="15" customHeight="1">
      <c r="A14" s="11">
        <v>7463</v>
      </c>
      <c r="B14" s="9" t="s">
        <v>117</v>
      </c>
    </row>
    <row r="15" spans="1:2" ht="15" customHeight="1">
      <c r="A15" s="11">
        <v>7737</v>
      </c>
      <c r="B15" s="9" t="s">
        <v>130</v>
      </c>
    </row>
    <row r="16" spans="1:2" ht="15" customHeight="1">
      <c r="A16" s="11">
        <v>7393</v>
      </c>
      <c r="B16" s="9" t="s">
        <v>131</v>
      </c>
    </row>
    <row r="17" spans="1:2" ht="15" customHeight="1">
      <c r="A17" s="11">
        <v>7199</v>
      </c>
      <c r="B17" s="9" t="s">
        <v>152</v>
      </c>
    </row>
    <row r="18" spans="1:2" ht="15" customHeight="1">
      <c r="A18" s="11">
        <v>7764</v>
      </c>
      <c r="B18" s="9" t="s">
        <v>132</v>
      </c>
    </row>
    <row r="19" spans="1:2" ht="15" customHeight="1">
      <c r="A19" s="11">
        <v>7287</v>
      </c>
      <c r="B19" s="9" t="s">
        <v>133</v>
      </c>
    </row>
    <row r="20" spans="1:2" ht="15" customHeight="1">
      <c r="A20" s="11">
        <v>7241</v>
      </c>
      <c r="B20" s="9" t="s">
        <v>134</v>
      </c>
    </row>
    <row r="21" spans="1:2" ht="15" customHeight="1">
      <c r="A21" s="11">
        <v>7250</v>
      </c>
      <c r="B21" s="9" t="s">
        <v>135</v>
      </c>
    </row>
    <row r="22" spans="1:2" ht="15" customHeight="1">
      <c r="A22" s="11">
        <v>8450</v>
      </c>
      <c r="B22" s="9" t="s">
        <v>136</v>
      </c>
    </row>
    <row r="23" spans="1:2" ht="15" customHeight="1">
      <c r="A23" s="11">
        <v>7153</v>
      </c>
      <c r="B23" s="9" t="s">
        <v>137</v>
      </c>
    </row>
    <row r="24" spans="1:2" ht="15" customHeight="1">
      <c r="A24" s="11">
        <v>7490</v>
      </c>
      <c r="B24" s="9" t="s">
        <v>138</v>
      </c>
    </row>
    <row r="25" spans="1:2" ht="15" customHeight="1">
      <c r="A25" s="11">
        <v>7302</v>
      </c>
      <c r="B25" s="9" t="s">
        <v>139</v>
      </c>
    </row>
    <row r="26" spans="1:2" ht="15" customHeight="1">
      <c r="A26" s="11">
        <v>1111</v>
      </c>
      <c r="B26" s="9" t="s">
        <v>153</v>
      </c>
    </row>
    <row r="27" spans="1:2" ht="15" customHeight="1">
      <c r="A27" s="11">
        <v>7621</v>
      </c>
      <c r="B27" s="9" t="s">
        <v>105</v>
      </c>
    </row>
    <row r="28" spans="1:2" ht="15" customHeight="1">
      <c r="A28" s="11">
        <v>8518</v>
      </c>
      <c r="B28" s="9" t="s">
        <v>140</v>
      </c>
    </row>
    <row r="29" spans="1:2" ht="15" customHeight="1">
      <c r="A29" s="11">
        <v>7339</v>
      </c>
      <c r="B29" s="9" t="s">
        <v>114</v>
      </c>
    </row>
    <row r="30" spans="1:2" ht="15" customHeight="1">
      <c r="A30" s="11">
        <v>7056</v>
      </c>
      <c r="B30" s="9" t="s">
        <v>141</v>
      </c>
    </row>
    <row r="31" spans="1:2" ht="15" customHeight="1">
      <c r="A31" s="11">
        <v>7366</v>
      </c>
      <c r="B31" s="9" t="s">
        <v>142</v>
      </c>
    </row>
    <row r="32" spans="1:2" ht="15" customHeight="1">
      <c r="A32" s="11">
        <v>8527</v>
      </c>
      <c r="B32" s="9" t="s">
        <v>143</v>
      </c>
    </row>
    <row r="33" spans="1:2" ht="15" customHeight="1">
      <c r="A33" s="11">
        <v>7852</v>
      </c>
      <c r="B33" s="9" t="s">
        <v>144</v>
      </c>
    </row>
    <row r="34" spans="1:2" ht="15" customHeight="1">
      <c r="A34" s="11">
        <v>7144</v>
      </c>
      <c r="B34" s="9" t="s">
        <v>118</v>
      </c>
    </row>
    <row r="35" spans="1:2" ht="15" customHeight="1">
      <c r="A35" s="11">
        <v>7791</v>
      </c>
      <c r="B35" s="9" t="s">
        <v>145</v>
      </c>
    </row>
    <row r="36" spans="1:2" ht="15" customHeight="1">
      <c r="A36" s="11">
        <v>7472</v>
      </c>
      <c r="B36" s="9" t="s">
        <v>146</v>
      </c>
    </row>
    <row r="37" spans="1:2" ht="15" customHeight="1">
      <c r="A37" s="11">
        <v>8493</v>
      </c>
      <c r="B37" s="9" t="s">
        <v>147</v>
      </c>
    </row>
    <row r="38" spans="1:2" ht="15" customHeight="1">
      <c r="A38" s="11">
        <v>7092</v>
      </c>
      <c r="B38" s="9" t="s">
        <v>148</v>
      </c>
    </row>
    <row r="39" spans="1:2" ht="15" customHeight="1">
      <c r="A39" s="11">
        <v>7126</v>
      </c>
      <c r="B39" s="9" t="s">
        <v>149</v>
      </c>
    </row>
    <row r="40" spans="1:2" ht="15" customHeight="1">
      <c r="A40" s="11">
        <v>7232</v>
      </c>
      <c r="B40" s="9" t="s">
        <v>150</v>
      </c>
    </row>
    <row r="41" spans="1:2" ht="15" customHeight="1">
      <c r="A41" s="11">
        <v>7357</v>
      </c>
      <c r="B41" s="9" t="s">
        <v>151</v>
      </c>
    </row>
    <row r="42" spans="1:2" ht="15" customHeight="1">
      <c r="A42" s="11">
        <v>7375</v>
      </c>
      <c r="B42" s="9" t="s">
        <v>115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"/>
  <sheetViews>
    <sheetView zoomScalePageLayoutView="0" workbookViewId="0" topLeftCell="A1">
      <selection activeCell="CR3" sqref="CR3"/>
    </sheetView>
  </sheetViews>
  <sheetFormatPr defaultColWidth="9.140625" defaultRowHeight="12.75"/>
  <sheetData>
    <row r="1" spans="1:256" ht="12.75">
      <c r="A1" t="e">
        <f>IF(Refrence!1:1,"AAAAAGf+twA=",0)</f>
        <v>#VALUE!</v>
      </c>
      <c r="B1" t="e">
        <f>AND(Refrence!A1,"AAAAAGf+twE=")</f>
        <v>#VALUE!</v>
      </c>
      <c r="C1" t="e">
        <f>AND(Refrence!B1,"AAAAAGf+twI=")</f>
        <v>#VALUE!</v>
      </c>
      <c r="D1" t="e">
        <f>AND(Refrence!C1,"AAAAAGf+twM=")</f>
        <v>#VALUE!</v>
      </c>
      <c r="E1" t="e">
        <f>AND(Refrence!D1,"AAAAAGf+twQ=")</f>
        <v>#VALUE!</v>
      </c>
      <c r="F1" t="e">
        <f>AND(Refrence!E1,"AAAAAGf+twU=")</f>
        <v>#VALUE!</v>
      </c>
      <c r="G1" t="e">
        <f>AND(Refrence!F1,"AAAAAGf+twY=")</f>
        <v>#VALUE!</v>
      </c>
      <c r="H1" t="e">
        <f>AND(Refrence!G1,"AAAAAGf+twc=")</f>
        <v>#VALUE!</v>
      </c>
      <c r="I1">
        <f>IF(Refrence!2:2,"AAAAAGf+twg=",0)</f>
        <v>0</v>
      </c>
      <c r="J1" t="e">
        <f>AND(Refrence!A2,"AAAAAGf+twk=")</f>
        <v>#VALUE!</v>
      </c>
      <c r="K1" t="e">
        <f>AND(Refrence!B2,"AAAAAGf+two=")</f>
        <v>#VALUE!</v>
      </c>
      <c r="L1" t="e">
        <f>AND(Refrence!C2,"AAAAAGf+tws=")</f>
        <v>#VALUE!</v>
      </c>
      <c r="M1" t="e">
        <f>AND(Refrence!D2,"AAAAAGf+tww=")</f>
        <v>#VALUE!</v>
      </c>
      <c r="N1" t="e">
        <f>AND(Refrence!E2,"AAAAAGf+tw0=")</f>
        <v>#VALUE!</v>
      </c>
      <c r="O1" t="e">
        <f>AND(Refrence!F2,"AAAAAGf+tw4=")</f>
        <v>#VALUE!</v>
      </c>
      <c r="P1" t="e">
        <f>AND(Refrence!G2,"AAAAAGf+tw8=")</f>
        <v>#VALUE!</v>
      </c>
      <c r="Q1">
        <f>IF(Refrence!3:3,"AAAAAGf+txA=",0)</f>
        <v>0</v>
      </c>
      <c r="R1" t="e">
        <f>AND(Refrence!A3,"AAAAAGf+txE=")</f>
        <v>#VALUE!</v>
      </c>
      <c r="S1" t="e">
        <f>AND(Refrence!B3,"AAAAAGf+txI=")</f>
        <v>#VALUE!</v>
      </c>
      <c r="T1" t="e">
        <f>AND(Refrence!C3,"AAAAAGf+txM=")</f>
        <v>#VALUE!</v>
      </c>
      <c r="U1" t="e">
        <f>AND(Refrence!D3,"AAAAAGf+txQ=")</f>
        <v>#VALUE!</v>
      </c>
      <c r="V1" t="e">
        <f>AND(Refrence!E3,"AAAAAGf+txU=")</f>
        <v>#VALUE!</v>
      </c>
      <c r="W1" t="e">
        <f>AND(Refrence!F3,"AAAAAGf+txY=")</f>
        <v>#VALUE!</v>
      </c>
      <c r="X1" t="e">
        <f>AND(Refrence!G3,"AAAAAGf+txc=")</f>
        <v>#VALUE!</v>
      </c>
      <c r="Y1">
        <f>IF(Refrence!4:4,"AAAAAGf+txg=",0)</f>
        <v>0</v>
      </c>
      <c r="Z1" t="e">
        <f>AND(Refrence!A4,"AAAAAGf+txk=")</f>
        <v>#VALUE!</v>
      </c>
      <c r="AA1" t="e">
        <f>AND(Refrence!B4,"AAAAAGf+txo=")</f>
        <v>#VALUE!</v>
      </c>
      <c r="AB1" t="e">
        <f>AND(Refrence!C4,"AAAAAGf+txs=")</f>
        <v>#VALUE!</v>
      </c>
      <c r="AC1" t="e">
        <f>AND(Refrence!D4,"AAAAAGf+txw=")</f>
        <v>#VALUE!</v>
      </c>
      <c r="AD1" t="e">
        <f>AND(Refrence!E4,"AAAAAGf+tx0=")</f>
        <v>#VALUE!</v>
      </c>
      <c r="AE1" t="e">
        <f>AND(Refrence!F4,"AAAAAGf+tx4=")</f>
        <v>#VALUE!</v>
      </c>
      <c r="AF1" t="e">
        <f>AND(Refrence!G4,"AAAAAGf+tx8=")</f>
        <v>#VALUE!</v>
      </c>
      <c r="AG1">
        <f>IF(Refrence!5:5,"AAAAAGf+tyA=",0)</f>
        <v>0</v>
      </c>
      <c r="AH1" t="e">
        <f>AND(Refrence!A5,"AAAAAGf+tyE=")</f>
        <v>#VALUE!</v>
      </c>
      <c r="AI1" t="e">
        <f>AND(Refrence!B5,"AAAAAGf+tyI=")</f>
        <v>#VALUE!</v>
      </c>
      <c r="AJ1" t="e">
        <f>AND(Refrence!C5,"AAAAAGf+tyM=")</f>
        <v>#VALUE!</v>
      </c>
      <c r="AK1" t="e">
        <f>AND(Refrence!D5,"AAAAAGf+tyQ=")</f>
        <v>#VALUE!</v>
      </c>
      <c r="AL1" t="e">
        <f>AND(Refrence!E5,"AAAAAGf+tyU=")</f>
        <v>#VALUE!</v>
      </c>
      <c r="AM1" t="e">
        <f>AND(Refrence!F5,"AAAAAGf+tyY=")</f>
        <v>#VALUE!</v>
      </c>
      <c r="AN1" t="e">
        <f>AND(Refrence!G5,"AAAAAGf+tyc=")</f>
        <v>#VALUE!</v>
      </c>
      <c r="AO1">
        <f>IF(Refrence!6:6,"AAAAAGf+tyg=",0)</f>
        <v>0</v>
      </c>
      <c r="AP1" t="e">
        <f>AND(Refrence!A6,"AAAAAGf+tyk=")</f>
        <v>#VALUE!</v>
      </c>
      <c r="AQ1" t="e">
        <f>AND(Refrence!B6,"AAAAAGf+tyo=")</f>
        <v>#VALUE!</v>
      </c>
      <c r="AR1" t="e">
        <f>AND(Refrence!C6,"AAAAAGf+tys=")</f>
        <v>#VALUE!</v>
      </c>
      <c r="AS1" t="e">
        <f>AND(Refrence!D6,"AAAAAGf+tyw=")</f>
        <v>#VALUE!</v>
      </c>
      <c r="AT1" t="e">
        <f>AND(Refrence!E6,"AAAAAGf+ty0=")</f>
        <v>#VALUE!</v>
      </c>
      <c r="AU1" t="e">
        <f>AND(Refrence!F6,"AAAAAGf+ty4=")</f>
        <v>#VALUE!</v>
      </c>
      <c r="AV1" t="e">
        <f>AND(Refrence!G6,"AAAAAGf+ty8=")</f>
        <v>#VALUE!</v>
      </c>
      <c r="AW1">
        <f>IF(Refrence!7:7,"AAAAAGf+tzA=",0)</f>
        <v>0</v>
      </c>
      <c r="AX1" t="e">
        <f>AND(Refrence!A7,"AAAAAGf+tzE=")</f>
        <v>#VALUE!</v>
      </c>
      <c r="AY1" t="e">
        <f>AND(Refrence!B7,"AAAAAGf+tzI=")</f>
        <v>#VALUE!</v>
      </c>
      <c r="AZ1" t="e">
        <f>AND(Refrence!C7,"AAAAAGf+tzM=")</f>
        <v>#VALUE!</v>
      </c>
      <c r="BA1" t="e">
        <f>AND(Refrence!D7,"AAAAAGf+tzQ=")</f>
        <v>#VALUE!</v>
      </c>
      <c r="BB1" t="e">
        <f>AND(Refrence!E7,"AAAAAGf+tzU=")</f>
        <v>#VALUE!</v>
      </c>
      <c r="BC1" t="e">
        <f>AND(Refrence!F7,"AAAAAGf+tzY=")</f>
        <v>#VALUE!</v>
      </c>
      <c r="BD1" t="e">
        <f>AND(Refrence!G7,"AAAAAGf+tzc=")</f>
        <v>#VALUE!</v>
      </c>
      <c r="BE1">
        <f>IF(Refrence!8:8,"AAAAAGf+tzg=",0)</f>
        <v>0</v>
      </c>
      <c r="BF1" t="e">
        <f>AND(Refrence!A8,"AAAAAGf+tzk=")</f>
        <v>#VALUE!</v>
      </c>
      <c r="BG1" t="e">
        <f>AND(Refrence!B8,"AAAAAGf+tzo=")</f>
        <v>#VALUE!</v>
      </c>
      <c r="BH1" t="e">
        <f>AND(Refrence!C8,"AAAAAGf+tzs=")</f>
        <v>#VALUE!</v>
      </c>
      <c r="BI1" t="e">
        <f>AND(Refrence!D8,"AAAAAGf+tzw=")</f>
        <v>#VALUE!</v>
      </c>
      <c r="BJ1" t="e">
        <f>AND(Refrence!E8,"AAAAAGf+tz0=")</f>
        <v>#VALUE!</v>
      </c>
      <c r="BK1" t="e">
        <f>AND(Refrence!F8,"AAAAAGf+tz4=")</f>
        <v>#VALUE!</v>
      </c>
      <c r="BL1" t="e">
        <f>AND(Refrence!G8,"AAAAAGf+tz8=")</f>
        <v>#VALUE!</v>
      </c>
      <c r="BM1">
        <f>IF(Refrence!9:9,"AAAAAGf+t0A=",0)</f>
        <v>0</v>
      </c>
      <c r="BN1" t="e">
        <f>AND(Refrence!A9,"AAAAAGf+t0E=")</f>
        <v>#VALUE!</v>
      </c>
      <c r="BO1" t="e">
        <f>AND(Refrence!B9,"AAAAAGf+t0I=")</f>
        <v>#VALUE!</v>
      </c>
      <c r="BP1" t="e">
        <f>AND(Refrence!C9,"AAAAAGf+t0M=")</f>
        <v>#VALUE!</v>
      </c>
      <c r="BQ1" t="e">
        <f>AND(Refrence!D9,"AAAAAGf+t0Q=")</f>
        <v>#VALUE!</v>
      </c>
      <c r="BR1" t="e">
        <f>AND(Refrence!E9,"AAAAAGf+t0U=")</f>
        <v>#VALUE!</v>
      </c>
      <c r="BS1" t="e">
        <f>AND(Refrence!F9,"AAAAAGf+t0Y=")</f>
        <v>#VALUE!</v>
      </c>
      <c r="BT1" t="e">
        <f>AND(Refrence!G9,"AAAAAGf+t0c=")</f>
        <v>#VALUE!</v>
      </c>
      <c r="BU1">
        <f>IF(Refrence!10:10,"AAAAAGf+t0g=",0)</f>
        <v>0</v>
      </c>
      <c r="BV1" t="e">
        <f>AND(Refrence!A10,"AAAAAGf+t0k=")</f>
        <v>#VALUE!</v>
      </c>
      <c r="BW1" t="e">
        <f>AND(Refrence!B10,"AAAAAGf+t0o=")</f>
        <v>#VALUE!</v>
      </c>
      <c r="BX1" t="e">
        <f>AND(Refrence!C10,"AAAAAGf+t0s=")</f>
        <v>#VALUE!</v>
      </c>
      <c r="BY1" t="e">
        <f>AND(Refrence!D10,"AAAAAGf+t0w=")</f>
        <v>#VALUE!</v>
      </c>
      <c r="BZ1" t="e">
        <f>AND(Refrence!E10,"AAAAAGf+t00=")</f>
        <v>#VALUE!</v>
      </c>
      <c r="CA1" t="e">
        <f>AND(Refrence!F10,"AAAAAGf+t04=")</f>
        <v>#VALUE!</v>
      </c>
      <c r="CB1" t="e">
        <f>AND(Refrence!G10,"AAAAAGf+t08=")</f>
        <v>#VALUE!</v>
      </c>
      <c r="CC1">
        <f>IF(Refrence!11:11,"AAAAAGf+t1A=",0)</f>
        <v>0</v>
      </c>
      <c r="CD1" t="e">
        <f>AND(Refrence!A11,"AAAAAGf+t1E=")</f>
        <v>#VALUE!</v>
      </c>
      <c r="CE1" t="e">
        <f>AND(Refrence!B11,"AAAAAGf+t1I=")</f>
        <v>#VALUE!</v>
      </c>
      <c r="CF1" t="e">
        <f>AND(Refrence!C11,"AAAAAGf+t1M=")</f>
        <v>#VALUE!</v>
      </c>
      <c r="CG1" t="e">
        <f>AND(Refrence!D11,"AAAAAGf+t1Q=")</f>
        <v>#VALUE!</v>
      </c>
      <c r="CH1" t="e">
        <f>AND(Refrence!E11,"AAAAAGf+t1U=")</f>
        <v>#VALUE!</v>
      </c>
      <c r="CI1" t="e">
        <f>AND(Refrence!F11,"AAAAAGf+t1Y=")</f>
        <v>#VALUE!</v>
      </c>
      <c r="CJ1" t="e">
        <f>AND(Refrence!G11,"AAAAAGf+t1c=")</f>
        <v>#VALUE!</v>
      </c>
      <c r="CK1">
        <f>IF(Refrence!12:12,"AAAAAGf+t1g=",0)</f>
        <v>0</v>
      </c>
      <c r="CL1" t="e">
        <f>AND(Refrence!A12,"AAAAAGf+t1k=")</f>
        <v>#VALUE!</v>
      </c>
      <c r="CM1" t="e">
        <f>AND(Refrence!B12,"AAAAAGf+t1o=")</f>
        <v>#VALUE!</v>
      </c>
      <c r="CN1" t="e">
        <f>AND(Refrence!C12,"AAAAAGf+t1s=")</f>
        <v>#VALUE!</v>
      </c>
      <c r="CO1" t="e">
        <f>AND(Refrence!D12,"AAAAAGf+t1w=")</f>
        <v>#VALUE!</v>
      </c>
      <c r="CP1" t="e">
        <f>AND(Refrence!E12,"AAAAAGf+t10=")</f>
        <v>#VALUE!</v>
      </c>
      <c r="CQ1" t="e">
        <f>AND(Refrence!F12,"AAAAAGf+t14=")</f>
        <v>#VALUE!</v>
      </c>
      <c r="CR1" t="e">
        <f>AND(Refrence!G12,"AAAAAGf+t18=")</f>
        <v>#VALUE!</v>
      </c>
      <c r="CS1">
        <f>IF(Refrence!13:13,"AAAAAGf+t2A=",0)</f>
        <v>0</v>
      </c>
      <c r="CT1" t="e">
        <f>AND(Refrence!A13,"AAAAAGf+t2E=")</f>
        <v>#VALUE!</v>
      </c>
      <c r="CU1" t="e">
        <f>AND(Refrence!B13,"AAAAAGf+t2I=")</f>
        <v>#VALUE!</v>
      </c>
      <c r="CV1" t="e">
        <f>AND(Refrence!C13,"AAAAAGf+t2M=")</f>
        <v>#VALUE!</v>
      </c>
      <c r="CW1" t="e">
        <f>AND(Refrence!D13,"AAAAAGf+t2Q=")</f>
        <v>#VALUE!</v>
      </c>
      <c r="CX1" t="e">
        <f>AND(Refrence!E13,"AAAAAGf+t2U=")</f>
        <v>#VALUE!</v>
      </c>
      <c r="CY1" t="e">
        <f>AND(Refrence!F13,"AAAAAGf+t2Y=")</f>
        <v>#VALUE!</v>
      </c>
      <c r="CZ1" t="e">
        <f>AND(Refrence!G13,"AAAAAGf+t2c=")</f>
        <v>#VALUE!</v>
      </c>
      <c r="DA1">
        <f>IF(Refrence!14:14,"AAAAAGf+t2g=",0)</f>
        <v>0</v>
      </c>
      <c r="DB1" t="e">
        <f>AND(Refrence!A14,"AAAAAGf+t2k=")</f>
        <v>#VALUE!</v>
      </c>
      <c r="DC1" t="e">
        <f>AND(Refrence!B14,"AAAAAGf+t2o=")</f>
        <v>#VALUE!</v>
      </c>
      <c r="DD1" t="e">
        <f>AND(Refrence!C14,"AAAAAGf+t2s=")</f>
        <v>#VALUE!</v>
      </c>
      <c r="DE1" t="e">
        <f>AND(Refrence!D14,"AAAAAGf+t2w=")</f>
        <v>#VALUE!</v>
      </c>
      <c r="DF1" t="e">
        <f>AND(Refrence!E14,"AAAAAGf+t20=")</f>
        <v>#VALUE!</v>
      </c>
      <c r="DG1" t="e">
        <f>AND(Refrence!F14,"AAAAAGf+t24=")</f>
        <v>#VALUE!</v>
      </c>
      <c r="DH1" t="e">
        <f>AND(Refrence!G14,"AAAAAGf+t28=")</f>
        <v>#VALUE!</v>
      </c>
      <c r="DI1">
        <f>IF(Refrence!15:15,"AAAAAGf+t3A=",0)</f>
        <v>0</v>
      </c>
      <c r="DJ1" t="e">
        <f>AND(Refrence!A15,"AAAAAGf+t3E=")</f>
        <v>#VALUE!</v>
      </c>
      <c r="DK1" t="e">
        <f>AND(Refrence!B15,"AAAAAGf+t3I=")</f>
        <v>#VALUE!</v>
      </c>
      <c r="DL1" t="e">
        <f>AND(Refrence!C15,"AAAAAGf+t3M=")</f>
        <v>#VALUE!</v>
      </c>
      <c r="DM1" t="e">
        <f>AND(Refrence!D15,"AAAAAGf+t3Q=")</f>
        <v>#VALUE!</v>
      </c>
      <c r="DN1" t="e">
        <f>AND(Refrence!E15,"AAAAAGf+t3U=")</f>
        <v>#VALUE!</v>
      </c>
      <c r="DO1" t="e">
        <f>AND(Refrence!F15,"AAAAAGf+t3Y=")</f>
        <v>#VALUE!</v>
      </c>
      <c r="DP1" t="e">
        <f>AND(Refrence!G15,"AAAAAGf+t3c=")</f>
        <v>#VALUE!</v>
      </c>
      <c r="DQ1">
        <f>IF(Refrence!16:16,"AAAAAGf+t3g=",0)</f>
        <v>0</v>
      </c>
      <c r="DR1" t="e">
        <f>AND(Refrence!A16,"AAAAAGf+t3k=")</f>
        <v>#VALUE!</v>
      </c>
      <c r="DS1" t="e">
        <f>AND(Refrence!B16,"AAAAAGf+t3o=")</f>
        <v>#VALUE!</v>
      </c>
      <c r="DT1" t="e">
        <f>AND(Refrence!C16,"AAAAAGf+t3s=")</f>
        <v>#VALUE!</v>
      </c>
      <c r="DU1" t="e">
        <f>AND(Refrence!D16,"AAAAAGf+t3w=")</f>
        <v>#VALUE!</v>
      </c>
      <c r="DV1" t="e">
        <f>AND(Refrence!E16,"AAAAAGf+t30=")</f>
        <v>#VALUE!</v>
      </c>
      <c r="DW1" t="e">
        <f>AND(Refrence!F16,"AAAAAGf+t34=")</f>
        <v>#VALUE!</v>
      </c>
      <c r="DX1" t="e">
        <f>AND(Refrence!G16,"AAAAAGf+t38=")</f>
        <v>#VALUE!</v>
      </c>
      <c r="DY1">
        <f>IF(Refrence!17:17,"AAAAAGf+t4A=",0)</f>
        <v>0</v>
      </c>
      <c r="DZ1" t="e">
        <f>AND(Refrence!A17,"AAAAAGf+t4E=")</f>
        <v>#VALUE!</v>
      </c>
      <c r="EA1" t="e">
        <f>AND(Refrence!B17,"AAAAAGf+t4I=")</f>
        <v>#VALUE!</v>
      </c>
      <c r="EB1" t="e">
        <f>AND(Refrence!C17,"AAAAAGf+t4M=")</f>
        <v>#VALUE!</v>
      </c>
      <c r="EC1" t="e">
        <f>AND(Refrence!D17,"AAAAAGf+t4Q=")</f>
        <v>#VALUE!</v>
      </c>
      <c r="ED1" t="e">
        <f>AND(Refrence!E17,"AAAAAGf+t4U=")</f>
        <v>#VALUE!</v>
      </c>
      <c r="EE1" t="e">
        <f>AND(Refrence!F17,"AAAAAGf+t4Y=")</f>
        <v>#VALUE!</v>
      </c>
      <c r="EF1" t="e">
        <f>AND(Refrence!G17,"AAAAAGf+t4c=")</f>
        <v>#VALUE!</v>
      </c>
      <c r="EG1">
        <f>IF(Refrence!18:18,"AAAAAGf+t4g=",0)</f>
        <v>0</v>
      </c>
      <c r="EH1" t="e">
        <f>AND(Refrence!A18,"AAAAAGf+t4k=")</f>
        <v>#VALUE!</v>
      </c>
      <c r="EI1" t="e">
        <f>AND(Refrence!B18,"AAAAAGf+t4o=")</f>
        <v>#VALUE!</v>
      </c>
      <c r="EJ1" t="e">
        <f>AND(Refrence!C18,"AAAAAGf+t4s=")</f>
        <v>#VALUE!</v>
      </c>
      <c r="EK1" t="e">
        <f>AND(Refrence!D18,"AAAAAGf+t4w=")</f>
        <v>#VALUE!</v>
      </c>
      <c r="EL1" t="e">
        <f>AND(Refrence!E18,"AAAAAGf+t40=")</f>
        <v>#VALUE!</v>
      </c>
      <c r="EM1" t="e">
        <f>AND(Refrence!F18,"AAAAAGf+t44=")</f>
        <v>#VALUE!</v>
      </c>
      <c r="EN1" t="e">
        <f>AND(Refrence!G18,"AAAAAGf+t48=")</f>
        <v>#VALUE!</v>
      </c>
      <c r="EO1">
        <f>IF(Refrence!19:19,"AAAAAGf+t5A=",0)</f>
        <v>0</v>
      </c>
      <c r="EP1" t="e">
        <f>AND(Refrence!A19,"AAAAAGf+t5E=")</f>
        <v>#VALUE!</v>
      </c>
      <c r="EQ1" t="e">
        <f>AND(Refrence!B19,"AAAAAGf+t5I=")</f>
        <v>#VALUE!</v>
      </c>
      <c r="ER1" t="e">
        <f>AND(Refrence!C19,"AAAAAGf+t5M=")</f>
        <v>#VALUE!</v>
      </c>
      <c r="ES1" t="e">
        <f>AND(Refrence!D19,"AAAAAGf+t5Q=")</f>
        <v>#VALUE!</v>
      </c>
      <c r="ET1" t="e">
        <f>AND(Refrence!E19,"AAAAAGf+t5U=")</f>
        <v>#VALUE!</v>
      </c>
      <c r="EU1" t="e">
        <f>AND(Refrence!F19,"AAAAAGf+t5Y=")</f>
        <v>#VALUE!</v>
      </c>
      <c r="EV1" t="e">
        <f>AND(Refrence!G19,"AAAAAGf+t5c=")</f>
        <v>#VALUE!</v>
      </c>
      <c r="EW1">
        <f>IF(Refrence!20:20,"AAAAAGf+t5g=",0)</f>
        <v>0</v>
      </c>
      <c r="EX1" t="e">
        <f>AND(Refrence!A20,"AAAAAGf+t5k=")</f>
        <v>#VALUE!</v>
      </c>
      <c r="EY1" t="e">
        <f>AND(Refrence!B20,"AAAAAGf+t5o=")</f>
        <v>#VALUE!</v>
      </c>
      <c r="EZ1" t="e">
        <f>AND(Refrence!C20,"AAAAAGf+t5s=")</f>
        <v>#VALUE!</v>
      </c>
      <c r="FA1" t="e">
        <f>AND(Refrence!D20,"AAAAAGf+t5w=")</f>
        <v>#VALUE!</v>
      </c>
      <c r="FB1" t="e">
        <f>AND(Refrence!E20,"AAAAAGf+t50=")</f>
        <v>#VALUE!</v>
      </c>
      <c r="FC1" t="e">
        <f>AND(Refrence!F20,"AAAAAGf+t54=")</f>
        <v>#VALUE!</v>
      </c>
      <c r="FD1" t="e">
        <f>AND(Refrence!G20,"AAAAAGf+t58=")</f>
        <v>#VALUE!</v>
      </c>
      <c r="FE1">
        <f>IF(Refrence!21:21,"AAAAAGf+t6A=",0)</f>
        <v>0</v>
      </c>
      <c r="FF1" t="e">
        <f>AND(Refrence!A21,"AAAAAGf+t6E=")</f>
        <v>#VALUE!</v>
      </c>
      <c r="FG1" t="e">
        <f>AND(Refrence!B21,"AAAAAGf+t6I=")</f>
        <v>#VALUE!</v>
      </c>
      <c r="FH1" t="e">
        <f>AND(Refrence!C21,"AAAAAGf+t6M=")</f>
        <v>#VALUE!</v>
      </c>
      <c r="FI1" t="e">
        <f>AND(Refrence!D21,"AAAAAGf+t6Q=")</f>
        <v>#VALUE!</v>
      </c>
      <c r="FJ1" t="e">
        <f>AND(Refrence!E21,"AAAAAGf+t6U=")</f>
        <v>#VALUE!</v>
      </c>
      <c r="FK1" t="e">
        <f>AND(Refrence!F21,"AAAAAGf+t6Y=")</f>
        <v>#VALUE!</v>
      </c>
      <c r="FL1" t="e">
        <f>AND(Refrence!G21,"AAAAAGf+t6c=")</f>
        <v>#VALUE!</v>
      </c>
      <c r="FM1">
        <f>IF(Refrence!22:22,"AAAAAGf+t6g=",0)</f>
        <v>0</v>
      </c>
      <c r="FN1" t="e">
        <f>AND(Refrence!A22,"AAAAAGf+t6k=")</f>
        <v>#VALUE!</v>
      </c>
      <c r="FO1" t="e">
        <f>AND(Refrence!B22,"AAAAAGf+t6o=")</f>
        <v>#VALUE!</v>
      </c>
      <c r="FP1" t="e">
        <f>AND(Refrence!C22,"AAAAAGf+t6s=")</f>
        <v>#VALUE!</v>
      </c>
      <c r="FQ1" t="e">
        <f>AND(Refrence!D22,"AAAAAGf+t6w=")</f>
        <v>#VALUE!</v>
      </c>
      <c r="FR1" t="e">
        <f>AND(Refrence!E22,"AAAAAGf+t60=")</f>
        <v>#VALUE!</v>
      </c>
      <c r="FS1" t="e">
        <f>AND(Refrence!F22,"AAAAAGf+t64=")</f>
        <v>#VALUE!</v>
      </c>
      <c r="FT1" t="e">
        <f>AND(Refrence!G22,"AAAAAGf+t68=")</f>
        <v>#VALUE!</v>
      </c>
      <c r="FU1">
        <f>IF(Refrence!23:23,"AAAAAGf+t7A=",0)</f>
        <v>0</v>
      </c>
      <c r="FV1" t="e">
        <f>AND(Refrence!A23,"AAAAAGf+t7E=")</f>
        <v>#VALUE!</v>
      </c>
      <c r="FW1" t="e">
        <f>AND(Refrence!B23,"AAAAAGf+t7I=")</f>
        <v>#VALUE!</v>
      </c>
      <c r="FX1" t="e">
        <f>AND(Refrence!C23,"AAAAAGf+t7M=")</f>
        <v>#VALUE!</v>
      </c>
      <c r="FY1" t="e">
        <f>AND(Refrence!D23,"AAAAAGf+t7Q=")</f>
        <v>#VALUE!</v>
      </c>
      <c r="FZ1" t="e">
        <f>AND(Refrence!E23,"AAAAAGf+t7U=")</f>
        <v>#VALUE!</v>
      </c>
      <c r="GA1" t="e">
        <f>AND(Refrence!F23,"AAAAAGf+t7Y=")</f>
        <v>#VALUE!</v>
      </c>
      <c r="GB1" t="e">
        <f>AND(Refrence!G23,"AAAAAGf+t7c=")</f>
        <v>#VALUE!</v>
      </c>
      <c r="GC1">
        <f>IF(Refrence!24:24,"AAAAAGf+t7g=",0)</f>
        <v>0</v>
      </c>
      <c r="GD1" t="e">
        <f>AND(Refrence!A24,"AAAAAGf+t7k=")</f>
        <v>#VALUE!</v>
      </c>
      <c r="GE1" t="e">
        <f>AND(Refrence!B24,"AAAAAGf+t7o=")</f>
        <v>#VALUE!</v>
      </c>
      <c r="GF1" t="e">
        <f>AND(Refrence!C24,"AAAAAGf+t7s=")</f>
        <v>#VALUE!</v>
      </c>
      <c r="GG1" t="e">
        <f>AND(Refrence!D24,"AAAAAGf+t7w=")</f>
        <v>#VALUE!</v>
      </c>
      <c r="GH1" t="e">
        <f>AND(Refrence!E24,"AAAAAGf+t70=")</f>
        <v>#VALUE!</v>
      </c>
      <c r="GI1" t="e">
        <f>AND(Refrence!F24,"AAAAAGf+t74=")</f>
        <v>#VALUE!</v>
      </c>
      <c r="GJ1" t="e">
        <f>AND(Refrence!G24,"AAAAAGf+t78=")</f>
        <v>#VALUE!</v>
      </c>
      <c r="GK1">
        <f>IF(Refrence!25:25,"AAAAAGf+t8A=",0)</f>
        <v>0</v>
      </c>
      <c r="GL1" t="e">
        <f>AND(Refrence!A25,"AAAAAGf+t8E=")</f>
        <v>#VALUE!</v>
      </c>
      <c r="GM1" t="e">
        <f>AND(Refrence!B25,"AAAAAGf+t8I=")</f>
        <v>#VALUE!</v>
      </c>
      <c r="GN1" t="e">
        <f>AND(Refrence!C25,"AAAAAGf+t8M=")</f>
        <v>#VALUE!</v>
      </c>
      <c r="GO1" t="e">
        <f>AND(Refrence!D25,"AAAAAGf+t8Q=")</f>
        <v>#VALUE!</v>
      </c>
      <c r="GP1" t="e">
        <f>AND(Refrence!E25,"AAAAAGf+t8U=")</f>
        <v>#VALUE!</v>
      </c>
      <c r="GQ1" t="e">
        <f>AND(Refrence!F25,"AAAAAGf+t8Y=")</f>
        <v>#VALUE!</v>
      </c>
      <c r="GR1" t="e">
        <f>AND(Refrence!G25,"AAAAAGf+t8c=")</f>
        <v>#VALUE!</v>
      </c>
      <c r="GS1">
        <f>IF(Refrence!26:26,"AAAAAGf+t8g=",0)</f>
        <v>0</v>
      </c>
      <c r="GT1" t="e">
        <f>AND(Refrence!A26,"AAAAAGf+t8k=")</f>
        <v>#VALUE!</v>
      </c>
      <c r="GU1" t="e">
        <f>AND(Refrence!B26,"AAAAAGf+t8o=")</f>
        <v>#VALUE!</v>
      </c>
      <c r="GV1" t="e">
        <f>AND(Refrence!C26,"AAAAAGf+t8s=")</f>
        <v>#VALUE!</v>
      </c>
      <c r="GW1" t="e">
        <f>AND(Refrence!D26,"AAAAAGf+t8w=")</f>
        <v>#VALUE!</v>
      </c>
      <c r="GX1" t="e">
        <f>AND(Refrence!E26,"AAAAAGf+t80=")</f>
        <v>#VALUE!</v>
      </c>
      <c r="GY1" t="e">
        <f>AND(Refrence!F26,"AAAAAGf+t84=")</f>
        <v>#VALUE!</v>
      </c>
      <c r="GZ1" t="e">
        <f>AND(Refrence!G26,"AAAAAGf+t88=")</f>
        <v>#VALUE!</v>
      </c>
      <c r="HA1">
        <f>IF(Refrence!27:27,"AAAAAGf+t9A=",0)</f>
        <v>0</v>
      </c>
      <c r="HB1" t="e">
        <f>AND(Refrence!A27,"AAAAAGf+t9E=")</f>
        <v>#VALUE!</v>
      </c>
      <c r="HC1" t="e">
        <f>AND(Refrence!B27,"AAAAAGf+t9I=")</f>
        <v>#VALUE!</v>
      </c>
      <c r="HD1" t="e">
        <f>AND(Refrence!C27,"AAAAAGf+t9M=")</f>
        <v>#VALUE!</v>
      </c>
      <c r="HE1" t="e">
        <f>AND(Refrence!D27,"AAAAAGf+t9Q=")</f>
        <v>#VALUE!</v>
      </c>
      <c r="HF1" t="e">
        <f>AND(Refrence!E27,"AAAAAGf+t9U=")</f>
        <v>#VALUE!</v>
      </c>
      <c r="HG1" t="e">
        <f>AND(Refrence!F27,"AAAAAGf+t9Y=")</f>
        <v>#VALUE!</v>
      </c>
      <c r="HH1" t="e">
        <f>AND(Refrence!G27,"AAAAAGf+t9c=")</f>
        <v>#VALUE!</v>
      </c>
      <c r="HI1">
        <f>IF(Refrence!28:28,"AAAAAGf+t9g=",0)</f>
        <v>0</v>
      </c>
      <c r="HJ1" t="e">
        <f>AND(Refrence!A28,"AAAAAGf+t9k=")</f>
        <v>#VALUE!</v>
      </c>
      <c r="HK1" t="e">
        <f>AND(Refrence!B28,"AAAAAGf+t9o=")</f>
        <v>#VALUE!</v>
      </c>
      <c r="HL1" t="e">
        <f>AND(Refrence!C28,"AAAAAGf+t9s=")</f>
        <v>#VALUE!</v>
      </c>
      <c r="HM1" t="e">
        <f>AND(Refrence!D28,"AAAAAGf+t9w=")</f>
        <v>#VALUE!</v>
      </c>
      <c r="HN1" t="e">
        <f>AND(Refrence!E28,"AAAAAGf+t90=")</f>
        <v>#VALUE!</v>
      </c>
      <c r="HO1" t="e">
        <f>AND(Refrence!F28,"AAAAAGf+t94=")</f>
        <v>#VALUE!</v>
      </c>
      <c r="HP1" t="e">
        <f>AND(Refrence!G28,"AAAAAGf+t98=")</f>
        <v>#VALUE!</v>
      </c>
      <c r="HQ1">
        <f>IF(Refrence!29:29,"AAAAAGf+t+A=",0)</f>
        <v>0</v>
      </c>
      <c r="HR1" t="e">
        <f>AND(Refrence!A29,"AAAAAGf+t+E=")</f>
        <v>#VALUE!</v>
      </c>
      <c r="HS1" t="e">
        <f>AND(Refrence!B29,"AAAAAGf+t+I=")</f>
        <v>#VALUE!</v>
      </c>
      <c r="HT1" t="e">
        <f>AND(Refrence!C29,"AAAAAGf+t+M=")</f>
        <v>#VALUE!</v>
      </c>
      <c r="HU1" t="e">
        <f>AND(Refrence!D29,"AAAAAGf+t+Q=")</f>
        <v>#VALUE!</v>
      </c>
      <c r="HV1" t="e">
        <f>AND(Refrence!E29,"AAAAAGf+t+U=")</f>
        <v>#VALUE!</v>
      </c>
      <c r="HW1" t="e">
        <f>AND(Refrence!F29,"AAAAAGf+t+Y=")</f>
        <v>#VALUE!</v>
      </c>
      <c r="HX1" t="e">
        <f>AND(Refrence!G29,"AAAAAGf+t+c=")</f>
        <v>#VALUE!</v>
      </c>
      <c r="HY1">
        <f>IF(Refrence!30:30,"AAAAAGf+t+g=",0)</f>
        <v>0</v>
      </c>
      <c r="HZ1" t="e">
        <f>AND(Refrence!A30,"AAAAAGf+t+k=")</f>
        <v>#VALUE!</v>
      </c>
      <c r="IA1" t="e">
        <f>AND(Refrence!B30,"AAAAAGf+t+o=")</f>
        <v>#VALUE!</v>
      </c>
      <c r="IB1" t="e">
        <f>AND(Refrence!C30,"AAAAAGf+t+s=")</f>
        <v>#VALUE!</v>
      </c>
      <c r="IC1" t="e">
        <f>AND(Refrence!D30,"AAAAAGf+t+w=")</f>
        <v>#VALUE!</v>
      </c>
      <c r="ID1" t="e">
        <f>AND(Refrence!E30,"AAAAAGf+t+0=")</f>
        <v>#VALUE!</v>
      </c>
      <c r="IE1" t="e">
        <f>AND(Refrence!F30,"AAAAAGf+t+4=")</f>
        <v>#VALUE!</v>
      </c>
      <c r="IF1" t="e">
        <f>AND(Refrence!G30,"AAAAAGf+t+8=")</f>
        <v>#VALUE!</v>
      </c>
      <c r="IG1">
        <f>IF(Refrence!31:31,"AAAAAGf+t/A=",0)</f>
        <v>0</v>
      </c>
      <c r="IH1" t="e">
        <f>AND(Refrence!A31,"AAAAAGf+t/E=")</f>
        <v>#VALUE!</v>
      </c>
      <c r="II1" t="e">
        <f>AND(Refrence!B31,"AAAAAGf+t/I=")</f>
        <v>#VALUE!</v>
      </c>
      <c r="IJ1" t="e">
        <f>AND(Refrence!C31,"AAAAAGf+t/M=")</f>
        <v>#VALUE!</v>
      </c>
      <c r="IK1" t="e">
        <f>AND(Refrence!D31,"AAAAAGf+t/Q=")</f>
        <v>#VALUE!</v>
      </c>
      <c r="IL1" t="e">
        <f>AND(Refrence!E31,"AAAAAGf+t/U=")</f>
        <v>#VALUE!</v>
      </c>
      <c r="IM1" t="e">
        <f>AND(Refrence!F31,"AAAAAGf+t/Y=")</f>
        <v>#VALUE!</v>
      </c>
      <c r="IN1" t="e">
        <f>AND(Refrence!G31,"AAAAAGf+t/c=")</f>
        <v>#VALUE!</v>
      </c>
      <c r="IO1">
        <f>IF(Refrence!32:32,"AAAAAGf+t/g=",0)</f>
        <v>0</v>
      </c>
      <c r="IP1" t="e">
        <f>AND(Refrence!A32,"AAAAAGf+t/k=")</f>
        <v>#VALUE!</v>
      </c>
      <c r="IQ1" t="e">
        <f>AND(Refrence!B32,"AAAAAGf+t/o=")</f>
        <v>#VALUE!</v>
      </c>
      <c r="IR1" t="e">
        <f>AND(Refrence!C32,"AAAAAGf+t/s=")</f>
        <v>#VALUE!</v>
      </c>
      <c r="IS1" t="e">
        <f>AND(Refrence!D32,"AAAAAGf+t/w=")</f>
        <v>#VALUE!</v>
      </c>
      <c r="IT1" t="e">
        <f>AND(Refrence!E32,"AAAAAGf+t/0=")</f>
        <v>#VALUE!</v>
      </c>
      <c r="IU1" t="e">
        <f>AND(Refrence!F32,"AAAAAGf+t/4=")</f>
        <v>#VALUE!</v>
      </c>
      <c r="IV1" t="e">
        <f>AND(Refrence!G32,"AAAAAGf+t/8=")</f>
        <v>#VALUE!</v>
      </c>
    </row>
    <row r="2" spans="1:256" ht="12.75">
      <c r="A2" t="str">
        <f>IF(Refrence!33:33,"AAAAAB/fvwA=",0)</f>
        <v>AAAAAB/fvwA=</v>
      </c>
      <c r="B2" t="e">
        <f>AND(Refrence!A33,"AAAAAB/fvwE=")</f>
        <v>#VALUE!</v>
      </c>
      <c r="C2" t="e">
        <f>AND(Refrence!B33,"AAAAAB/fvwI=")</f>
        <v>#VALUE!</v>
      </c>
      <c r="D2" t="e">
        <f>AND(Refrence!C33,"AAAAAB/fvwM=")</f>
        <v>#VALUE!</v>
      </c>
      <c r="E2" t="e">
        <f>AND(Refrence!D33,"AAAAAB/fvwQ=")</f>
        <v>#VALUE!</v>
      </c>
      <c r="F2" t="e">
        <f>AND(Refrence!E33,"AAAAAB/fvwU=")</f>
        <v>#VALUE!</v>
      </c>
      <c r="G2" t="e">
        <f>AND(Refrence!F33,"AAAAAB/fvwY=")</f>
        <v>#VALUE!</v>
      </c>
      <c r="H2" t="e">
        <f>AND(Refrence!G33,"AAAAAB/fvwc=")</f>
        <v>#VALUE!</v>
      </c>
      <c r="I2">
        <f>IF(Refrence!34:34,"AAAAAB/fvwg=",0)</f>
        <v>0</v>
      </c>
      <c r="J2" t="e">
        <f>AND(Refrence!A34,"AAAAAB/fvwk=")</f>
        <v>#VALUE!</v>
      </c>
      <c r="K2" t="e">
        <f>AND(Refrence!B34,"AAAAAB/fvwo=")</f>
        <v>#VALUE!</v>
      </c>
      <c r="L2" t="e">
        <f>AND(Refrence!C34,"AAAAAB/fvws=")</f>
        <v>#VALUE!</v>
      </c>
      <c r="M2" t="e">
        <f>AND(Refrence!D34,"AAAAAB/fvww=")</f>
        <v>#VALUE!</v>
      </c>
      <c r="N2" t="e">
        <f>AND(Refrence!E34,"AAAAAB/fvw0=")</f>
        <v>#VALUE!</v>
      </c>
      <c r="O2" t="e">
        <f>AND(Refrence!F34,"AAAAAB/fvw4=")</f>
        <v>#VALUE!</v>
      </c>
      <c r="P2" t="e">
        <f>AND(Refrence!G34,"AAAAAB/fvw8=")</f>
        <v>#VALUE!</v>
      </c>
      <c r="Q2">
        <f>IF(Refrence!35:35,"AAAAAB/fvxA=",0)</f>
        <v>0</v>
      </c>
      <c r="R2" t="e">
        <f>AND(Refrence!A35,"AAAAAB/fvxE=")</f>
        <v>#VALUE!</v>
      </c>
      <c r="S2" t="e">
        <f>AND(Refrence!B35,"AAAAAB/fvxI=")</f>
        <v>#VALUE!</v>
      </c>
      <c r="T2" t="e">
        <f>AND(Refrence!C35,"AAAAAB/fvxM=")</f>
        <v>#VALUE!</v>
      </c>
      <c r="U2" t="e">
        <f>AND(Refrence!D35,"AAAAAB/fvxQ=")</f>
        <v>#VALUE!</v>
      </c>
      <c r="V2" t="e">
        <f>AND(Refrence!E35,"AAAAAB/fvxU=")</f>
        <v>#VALUE!</v>
      </c>
      <c r="W2" t="e">
        <f>AND(Refrence!F35,"AAAAAB/fvxY=")</f>
        <v>#VALUE!</v>
      </c>
      <c r="X2" t="e">
        <f>AND(Refrence!G35,"AAAAAB/fvxc=")</f>
        <v>#VALUE!</v>
      </c>
      <c r="Y2">
        <f>IF(Refrence!36:36,"AAAAAB/fvxg=",0)</f>
        <v>0</v>
      </c>
      <c r="Z2" t="e">
        <f>AND(Refrence!A36,"AAAAAB/fvxk=")</f>
        <v>#VALUE!</v>
      </c>
      <c r="AA2" t="e">
        <f>AND(Refrence!B36,"AAAAAB/fvxo=")</f>
        <v>#VALUE!</v>
      </c>
      <c r="AB2" t="e">
        <f>AND(Refrence!C36,"AAAAAB/fvxs=")</f>
        <v>#VALUE!</v>
      </c>
      <c r="AC2" t="e">
        <f>AND(Refrence!D36,"AAAAAB/fvxw=")</f>
        <v>#VALUE!</v>
      </c>
      <c r="AD2" t="e">
        <f>AND(Refrence!E36,"AAAAAB/fvx0=")</f>
        <v>#VALUE!</v>
      </c>
      <c r="AE2" t="e">
        <f>AND(Refrence!F36,"AAAAAB/fvx4=")</f>
        <v>#VALUE!</v>
      </c>
      <c r="AF2" t="e">
        <f>AND(Refrence!G36,"AAAAAB/fvx8=")</f>
        <v>#VALUE!</v>
      </c>
      <c r="AG2">
        <f>IF(Refrence!37:37,"AAAAAB/fvyA=",0)</f>
        <v>0</v>
      </c>
      <c r="AH2" t="e">
        <f>AND(Refrence!A37,"AAAAAB/fvyE=")</f>
        <v>#VALUE!</v>
      </c>
      <c r="AI2" t="e">
        <f>AND(Refrence!B37,"AAAAAB/fvyI=")</f>
        <v>#VALUE!</v>
      </c>
      <c r="AJ2" t="e">
        <f>AND(Refrence!C37,"AAAAAB/fvyM=")</f>
        <v>#VALUE!</v>
      </c>
      <c r="AK2" t="e">
        <f>AND(Refrence!D37,"AAAAAB/fvyQ=")</f>
        <v>#VALUE!</v>
      </c>
      <c r="AL2" t="e">
        <f>AND(Refrence!E37,"AAAAAB/fvyU=")</f>
        <v>#VALUE!</v>
      </c>
      <c r="AM2" t="e">
        <f>AND(Refrence!F37,"AAAAAB/fvyY=")</f>
        <v>#VALUE!</v>
      </c>
      <c r="AN2" t="e">
        <f>AND(Refrence!G37,"AAAAAB/fvyc=")</f>
        <v>#VALUE!</v>
      </c>
      <c r="AO2">
        <f>IF(Refrence!38:38,"AAAAAB/fvyg=",0)</f>
        <v>0</v>
      </c>
      <c r="AP2" t="e">
        <f>AND(Refrence!A38,"AAAAAB/fvyk=")</f>
        <v>#VALUE!</v>
      </c>
      <c r="AQ2" t="e">
        <f>AND(Refrence!B38,"AAAAAB/fvyo=")</f>
        <v>#VALUE!</v>
      </c>
      <c r="AR2" t="e">
        <f>AND(Refrence!C38,"AAAAAB/fvys=")</f>
        <v>#VALUE!</v>
      </c>
      <c r="AS2" t="e">
        <f>AND(Refrence!D38,"AAAAAB/fvyw=")</f>
        <v>#VALUE!</v>
      </c>
      <c r="AT2" t="e">
        <f>AND(Refrence!E38,"AAAAAB/fvy0=")</f>
        <v>#VALUE!</v>
      </c>
      <c r="AU2" t="e">
        <f>AND(Refrence!F38,"AAAAAB/fvy4=")</f>
        <v>#VALUE!</v>
      </c>
      <c r="AV2" t="e">
        <f>AND(Refrence!G38,"AAAAAB/fvy8=")</f>
        <v>#VALUE!</v>
      </c>
      <c r="AW2">
        <f>IF(Refrence!39:39,"AAAAAB/fvzA=",0)</f>
        <v>0</v>
      </c>
      <c r="AX2" t="e">
        <f>AND(Refrence!A39,"AAAAAB/fvzE=")</f>
        <v>#VALUE!</v>
      </c>
      <c r="AY2" t="e">
        <f>AND(Refrence!B39,"AAAAAB/fvzI=")</f>
        <v>#VALUE!</v>
      </c>
      <c r="AZ2" t="e">
        <f>AND(Refrence!C39,"AAAAAB/fvzM=")</f>
        <v>#VALUE!</v>
      </c>
      <c r="BA2" t="e">
        <f>AND(Refrence!D39,"AAAAAB/fvzQ=")</f>
        <v>#VALUE!</v>
      </c>
      <c r="BB2" t="e">
        <f>AND(Refrence!E39,"AAAAAB/fvzU=")</f>
        <v>#VALUE!</v>
      </c>
      <c r="BC2" t="e">
        <f>AND(Refrence!F39,"AAAAAB/fvzY=")</f>
        <v>#VALUE!</v>
      </c>
      <c r="BD2" t="e">
        <f>AND(Refrence!G39,"AAAAAB/fvzc=")</f>
        <v>#VALUE!</v>
      </c>
      <c r="BE2">
        <f>IF(Refrence!40:40,"AAAAAB/fvzg=",0)</f>
        <v>0</v>
      </c>
      <c r="BF2" t="e">
        <f>AND(Refrence!A40,"AAAAAB/fvzk=")</f>
        <v>#VALUE!</v>
      </c>
      <c r="BG2" t="e">
        <f>AND(Refrence!B40,"AAAAAB/fvzo=")</f>
        <v>#VALUE!</v>
      </c>
      <c r="BH2" t="e">
        <f>AND(Refrence!C40,"AAAAAB/fvzs=")</f>
        <v>#VALUE!</v>
      </c>
      <c r="BI2" t="e">
        <f>AND(Refrence!D40,"AAAAAB/fvzw=")</f>
        <v>#VALUE!</v>
      </c>
      <c r="BJ2" t="e">
        <f>AND(Refrence!E40,"AAAAAB/fvz0=")</f>
        <v>#VALUE!</v>
      </c>
      <c r="BK2" t="e">
        <f>AND(Refrence!F40,"AAAAAB/fvz4=")</f>
        <v>#VALUE!</v>
      </c>
      <c r="BL2" t="e">
        <f>AND(Refrence!G40,"AAAAAB/fvz8=")</f>
        <v>#VALUE!</v>
      </c>
      <c r="BM2">
        <f>IF(Refrence!41:41,"AAAAAB/fv0A=",0)</f>
        <v>0</v>
      </c>
      <c r="BN2" t="e">
        <f>AND(Refrence!A41,"AAAAAB/fv0E=")</f>
        <v>#VALUE!</v>
      </c>
      <c r="BO2" t="e">
        <f>AND(Refrence!B41,"AAAAAB/fv0I=")</f>
        <v>#VALUE!</v>
      </c>
      <c r="BP2" t="e">
        <f>AND(Refrence!C41,"AAAAAB/fv0M=")</f>
        <v>#VALUE!</v>
      </c>
      <c r="BQ2" t="e">
        <f>AND(Refrence!D41,"AAAAAB/fv0Q=")</f>
        <v>#VALUE!</v>
      </c>
      <c r="BR2" t="e">
        <f>AND(Refrence!E41,"AAAAAB/fv0U=")</f>
        <v>#VALUE!</v>
      </c>
      <c r="BS2" t="e">
        <f>AND(Refrence!F41,"AAAAAB/fv0Y=")</f>
        <v>#VALUE!</v>
      </c>
      <c r="BT2" t="e">
        <f>AND(Refrence!G41,"AAAAAB/fv0c=")</f>
        <v>#VALUE!</v>
      </c>
      <c r="BU2">
        <f>IF(Refrence!42:42,"AAAAAB/fv0g=",0)</f>
        <v>0</v>
      </c>
      <c r="BV2" t="e">
        <f>AND(Refrence!A42,"AAAAAB/fv0k=")</f>
        <v>#VALUE!</v>
      </c>
      <c r="BW2" t="e">
        <f>AND(Refrence!B42,"AAAAAB/fv0o=")</f>
        <v>#VALUE!</v>
      </c>
      <c r="BX2" t="e">
        <f>AND(Refrence!C42,"AAAAAB/fv0s=")</f>
        <v>#VALUE!</v>
      </c>
      <c r="BY2" t="e">
        <f>AND(Refrence!D42,"AAAAAB/fv0w=")</f>
        <v>#VALUE!</v>
      </c>
      <c r="BZ2" t="e">
        <f>AND(Refrence!E42,"AAAAAB/fv00=")</f>
        <v>#VALUE!</v>
      </c>
      <c r="CA2" t="e">
        <f>AND(Refrence!F42,"AAAAAB/fv04=")</f>
        <v>#VALUE!</v>
      </c>
      <c r="CB2" t="e">
        <f>AND(Refrence!G42,"AAAAAB/fv08=")</f>
        <v>#VALUE!</v>
      </c>
      <c r="CC2">
        <f>IF(Refrence!43:43,"AAAAAB/fv1A=",0)</f>
        <v>0</v>
      </c>
      <c r="CD2" t="e">
        <f>AND(Refrence!A43,"AAAAAB/fv1E=")</f>
        <v>#VALUE!</v>
      </c>
      <c r="CE2" t="e">
        <f>AND(Refrence!B43,"AAAAAB/fv1I=")</f>
        <v>#VALUE!</v>
      </c>
      <c r="CF2" t="e">
        <f>AND(Refrence!C43,"AAAAAB/fv1M=")</f>
        <v>#VALUE!</v>
      </c>
      <c r="CG2" t="e">
        <f>AND(Refrence!D43,"AAAAAB/fv1Q=")</f>
        <v>#VALUE!</v>
      </c>
      <c r="CH2" t="e">
        <f>AND(Refrence!E43,"AAAAAB/fv1U=")</f>
        <v>#VALUE!</v>
      </c>
      <c r="CI2" t="e">
        <f>AND(Refrence!F43,"AAAAAB/fv1Y=")</f>
        <v>#VALUE!</v>
      </c>
      <c r="CJ2" t="e">
        <f>AND(Refrence!G43,"AAAAAB/fv1c=")</f>
        <v>#VALUE!</v>
      </c>
      <c r="CK2">
        <f>IF(Refrence!44:44,"AAAAAB/fv1g=",0)</f>
        <v>0</v>
      </c>
      <c r="CL2" t="e">
        <f>AND(Refrence!A44,"AAAAAB/fv1k=")</f>
        <v>#VALUE!</v>
      </c>
      <c r="CM2" t="e">
        <f>AND(Refrence!B44,"AAAAAB/fv1o=")</f>
        <v>#VALUE!</v>
      </c>
      <c r="CN2" t="e">
        <f>AND(Refrence!C44,"AAAAAB/fv1s=")</f>
        <v>#VALUE!</v>
      </c>
      <c r="CO2" t="e">
        <f>AND(Refrence!D44,"AAAAAB/fv1w=")</f>
        <v>#VALUE!</v>
      </c>
      <c r="CP2" t="e">
        <f>AND(Refrence!E44,"AAAAAB/fv10=")</f>
        <v>#VALUE!</v>
      </c>
      <c r="CQ2" t="e">
        <f>AND(Refrence!F44,"AAAAAB/fv14=")</f>
        <v>#VALUE!</v>
      </c>
      <c r="CR2" t="e">
        <f>AND(Refrence!G44,"AAAAAB/fv18=")</f>
        <v>#VALUE!</v>
      </c>
      <c r="CS2">
        <f>IF(Refrence!45:45,"AAAAAB/fv2A=",0)</f>
        <v>0</v>
      </c>
      <c r="CT2" t="e">
        <f>AND(Refrence!A45,"AAAAAB/fv2E=")</f>
        <v>#VALUE!</v>
      </c>
      <c r="CU2" t="e">
        <f>AND(Refrence!B45,"AAAAAB/fv2I=")</f>
        <v>#VALUE!</v>
      </c>
      <c r="CV2" t="e">
        <f>AND(Refrence!C45,"AAAAAB/fv2M=")</f>
        <v>#VALUE!</v>
      </c>
      <c r="CW2" t="e">
        <f>AND(Refrence!D45,"AAAAAB/fv2Q=")</f>
        <v>#VALUE!</v>
      </c>
      <c r="CX2" t="e">
        <f>AND(Refrence!E45,"AAAAAB/fv2U=")</f>
        <v>#VALUE!</v>
      </c>
      <c r="CY2" t="e">
        <f>AND(Refrence!F45,"AAAAAB/fv2Y=")</f>
        <v>#VALUE!</v>
      </c>
      <c r="CZ2" t="e">
        <f>AND(Refrence!G45,"AAAAAB/fv2c=")</f>
        <v>#VALUE!</v>
      </c>
      <c r="DA2">
        <f>IF(Refrence!46:46,"AAAAAB/fv2g=",0)</f>
        <v>0</v>
      </c>
      <c r="DB2" t="e">
        <f>AND(Refrence!A46,"AAAAAB/fv2k=")</f>
        <v>#VALUE!</v>
      </c>
      <c r="DC2" t="e">
        <f>AND(Refrence!B46,"AAAAAB/fv2o=")</f>
        <v>#VALUE!</v>
      </c>
      <c r="DD2" t="e">
        <f>AND(Refrence!C46,"AAAAAB/fv2s=")</f>
        <v>#VALUE!</v>
      </c>
      <c r="DE2" t="e">
        <f>AND(Refrence!D46,"AAAAAB/fv2w=")</f>
        <v>#VALUE!</v>
      </c>
      <c r="DF2" t="e">
        <f>AND(Refrence!E46,"AAAAAB/fv20=")</f>
        <v>#VALUE!</v>
      </c>
      <c r="DG2" t="e">
        <f>AND(Refrence!F46,"AAAAAB/fv24=")</f>
        <v>#VALUE!</v>
      </c>
      <c r="DH2" t="e">
        <f>AND(Refrence!G46,"AAAAAB/fv28=")</f>
        <v>#VALUE!</v>
      </c>
      <c r="DI2">
        <f>IF(Refrence!47:47,"AAAAAB/fv3A=",0)</f>
        <v>0</v>
      </c>
      <c r="DJ2" t="e">
        <f>AND(Refrence!A47,"AAAAAB/fv3E=")</f>
        <v>#VALUE!</v>
      </c>
      <c r="DK2" t="e">
        <f>AND(Refrence!B47,"AAAAAB/fv3I=")</f>
        <v>#VALUE!</v>
      </c>
      <c r="DL2" t="e">
        <f>AND(Refrence!C47,"AAAAAB/fv3M=")</f>
        <v>#VALUE!</v>
      </c>
      <c r="DM2" t="e">
        <f>AND(Refrence!D47,"AAAAAB/fv3Q=")</f>
        <v>#VALUE!</v>
      </c>
      <c r="DN2" t="e">
        <f>AND(Refrence!E47,"AAAAAB/fv3U=")</f>
        <v>#VALUE!</v>
      </c>
      <c r="DO2" t="e">
        <f>AND(Refrence!F47,"AAAAAB/fv3Y=")</f>
        <v>#VALUE!</v>
      </c>
      <c r="DP2" t="e">
        <f>AND(Refrence!G47,"AAAAAB/fv3c=")</f>
        <v>#VALUE!</v>
      </c>
      <c r="DQ2">
        <f>IF(Refrence!48:48,"AAAAAB/fv3g=",0)</f>
        <v>0</v>
      </c>
      <c r="DR2" t="e">
        <f>AND(Refrence!A48,"AAAAAB/fv3k=")</f>
        <v>#VALUE!</v>
      </c>
      <c r="DS2" t="e">
        <f>AND(Refrence!B48,"AAAAAB/fv3o=")</f>
        <v>#VALUE!</v>
      </c>
      <c r="DT2" t="e">
        <f>AND(Refrence!C48,"AAAAAB/fv3s=")</f>
        <v>#VALUE!</v>
      </c>
      <c r="DU2" t="e">
        <f>AND(Refrence!D48,"AAAAAB/fv3w=")</f>
        <v>#VALUE!</v>
      </c>
      <c r="DV2" t="e">
        <f>AND(Refrence!E48,"AAAAAB/fv30=")</f>
        <v>#VALUE!</v>
      </c>
      <c r="DW2" t="e">
        <f>AND(Refrence!F48,"AAAAAB/fv34=")</f>
        <v>#VALUE!</v>
      </c>
      <c r="DX2" t="e">
        <f>AND(Refrence!G48,"AAAAAB/fv38=")</f>
        <v>#VALUE!</v>
      </c>
      <c r="DY2">
        <f>IF(Refrence!49:49,"AAAAAB/fv4A=",0)</f>
        <v>0</v>
      </c>
      <c r="DZ2" t="e">
        <f>AND(Refrence!A49,"AAAAAB/fv4E=")</f>
        <v>#VALUE!</v>
      </c>
      <c r="EA2" t="e">
        <f>AND(Refrence!B49,"AAAAAB/fv4I=")</f>
        <v>#VALUE!</v>
      </c>
      <c r="EB2" t="e">
        <f>AND(Refrence!C49,"AAAAAB/fv4M=")</f>
        <v>#VALUE!</v>
      </c>
      <c r="EC2" t="e">
        <f>AND(Refrence!D49,"AAAAAB/fv4Q=")</f>
        <v>#VALUE!</v>
      </c>
      <c r="ED2" t="e">
        <f>AND(Refrence!E49,"AAAAAB/fv4U=")</f>
        <v>#VALUE!</v>
      </c>
      <c r="EE2" t="e">
        <f>AND(Refrence!F49,"AAAAAB/fv4Y=")</f>
        <v>#VALUE!</v>
      </c>
      <c r="EF2" t="e">
        <f>AND(Refrence!G49,"AAAAAB/fv4c=")</f>
        <v>#VALUE!</v>
      </c>
      <c r="EG2">
        <f>IF(Refrence!50:50,"AAAAAB/fv4g=",0)</f>
        <v>0</v>
      </c>
      <c r="EH2" t="e">
        <f>AND(Refrence!A50,"AAAAAB/fv4k=")</f>
        <v>#VALUE!</v>
      </c>
      <c r="EI2" t="e">
        <f>AND(Refrence!B50,"AAAAAB/fv4o=")</f>
        <v>#VALUE!</v>
      </c>
      <c r="EJ2" t="e">
        <f>AND(Refrence!C50,"AAAAAB/fv4s=")</f>
        <v>#VALUE!</v>
      </c>
      <c r="EK2" t="e">
        <f>AND(Refrence!D50,"AAAAAB/fv4w=")</f>
        <v>#VALUE!</v>
      </c>
      <c r="EL2" t="e">
        <f>AND(Refrence!E50,"AAAAAB/fv40=")</f>
        <v>#VALUE!</v>
      </c>
      <c r="EM2" t="e">
        <f>AND(Refrence!F50,"AAAAAB/fv44=")</f>
        <v>#VALUE!</v>
      </c>
      <c r="EN2" t="e">
        <f>AND(Refrence!G50,"AAAAAB/fv48=")</f>
        <v>#VALUE!</v>
      </c>
      <c r="EO2">
        <f>IF(Refrence!51:51,"AAAAAB/fv5A=",0)</f>
        <v>0</v>
      </c>
      <c r="EP2" t="e">
        <f>AND(Refrence!A51,"AAAAAB/fv5E=")</f>
        <v>#VALUE!</v>
      </c>
      <c r="EQ2" t="e">
        <f>AND(Refrence!B51,"AAAAAB/fv5I=")</f>
        <v>#VALUE!</v>
      </c>
      <c r="ER2" t="e">
        <f>AND(Refrence!C51,"AAAAAB/fv5M=")</f>
        <v>#VALUE!</v>
      </c>
      <c r="ES2" t="e">
        <f>AND(Refrence!D51,"AAAAAB/fv5Q=")</f>
        <v>#VALUE!</v>
      </c>
      <c r="ET2" t="e">
        <f>AND(Refrence!E51,"AAAAAB/fv5U=")</f>
        <v>#VALUE!</v>
      </c>
      <c r="EU2" t="e">
        <f>AND(Refrence!F51,"AAAAAB/fv5Y=")</f>
        <v>#VALUE!</v>
      </c>
      <c r="EV2" t="e">
        <f>AND(Refrence!G51,"AAAAAB/fv5c=")</f>
        <v>#VALUE!</v>
      </c>
      <c r="EW2">
        <f>IF(Refrence!52:52,"AAAAAB/fv5g=",0)</f>
        <v>0</v>
      </c>
      <c r="EX2" t="e">
        <f>AND(Refrence!A52,"AAAAAB/fv5k=")</f>
        <v>#VALUE!</v>
      </c>
      <c r="EY2" t="e">
        <f>AND(Refrence!B52,"AAAAAB/fv5o=")</f>
        <v>#VALUE!</v>
      </c>
      <c r="EZ2" t="e">
        <f>AND(Refrence!C52,"AAAAAB/fv5s=")</f>
        <v>#VALUE!</v>
      </c>
      <c r="FA2" t="e">
        <f>AND(Refrence!D52,"AAAAAB/fv5w=")</f>
        <v>#VALUE!</v>
      </c>
      <c r="FB2" t="e">
        <f>AND(Refrence!E52,"AAAAAB/fv50=")</f>
        <v>#VALUE!</v>
      </c>
      <c r="FC2" t="e">
        <f>AND(Refrence!F52,"AAAAAB/fv54=")</f>
        <v>#VALUE!</v>
      </c>
      <c r="FD2" t="e">
        <f>AND(Refrence!G52,"AAAAAB/fv58=")</f>
        <v>#VALUE!</v>
      </c>
      <c r="FE2">
        <f>IF(Refrence!53:53,"AAAAAB/fv6A=",0)</f>
        <v>0</v>
      </c>
      <c r="FF2" t="e">
        <f>AND(Refrence!A53,"AAAAAB/fv6E=")</f>
        <v>#VALUE!</v>
      </c>
      <c r="FG2" t="e">
        <f>AND(Refrence!B53,"AAAAAB/fv6I=")</f>
        <v>#VALUE!</v>
      </c>
      <c r="FH2" t="e">
        <f>AND(Refrence!C53,"AAAAAB/fv6M=")</f>
        <v>#VALUE!</v>
      </c>
      <c r="FI2" t="e">
        <f>AND(Refrence!D53,"AAAAAB/fv6Q=")</f>
        <v>#VALUE!</v>
      </c>
      <c r="FJ2" t="e">
        <f>AND(Refrence!E53,"AAAAAB/fv6U=")</f>
        <v>#VALUE!</v>
      </c>
      <c r="FK2" t="e">
        <f>AND(Refrence!F53,"AAAAAB/fv6Y=")</f>
        <v>#VALUE!</v>
      </c>
      <c r="FL2" t="e">
        <f>AND(Refrence!G53,"AAAAAB/fv6c=")</f>
        <v>#VALUE!</v>
      </c>
      <c r="FM2">
        <f>IF(Refrence!54:54,"AAAAAB/fv6g=",0)</f>
        <v>0</v>
      </c>
      <c r="FN2" t="e">
        <f>AND(Refrence!A54,"AAAAAB/fv6k=")</f>
        <v>#VALUE!</v>
      </c>
      <c r="FO2" t="e">
        <f>AND(Refrence!B54,"AAAAAB/fv6o=")</f>
        <v>#VALUE!</v>
      </c>
      <c r="FP2" t="e">
        <f>AND(Refrence!C54,"AAAAAB/fv6s=")</f>
        <v>#VALUE!</v>
      </c>
      <c r="FQ2" t="e">
        <f>AND(Refrence!D54,"AAAAAB/fv6w=")</f>
        <v>#VALUE!</v>
      </c>
      <c r="FR2" t="e">
        <f>AND(Refrence!E54,"AAAAAB/fv60=")</f>
        <v>#VALUE!</v>
      </c>
      <c r="FS2" t="e">
        <f>AND(Refrence!F54,"AAAAAB/fv64=")</f>
        <v>#VALUE!</v>
      </c>
      <c r="FT2" t="e">
        <f>AND(Refrence!G54,"AAAAAB/fv68=")</f>
        <v>#VALUE!</v>
      </c>
      <c r="FU2">
        <f>IF(Refrence!55:55,"AAAAAB/fv7A=",0)</f>
        <v>0</v>
      </c>
      <c r="FV2" t="e">
        <f>AND(Refrence!A55,"AAAAAB/fv7E=")</f>
        <v>#VALUE!</v>
      </c>
      <c r="FW2" t="e">
        <f>AND(Refrence!B55,"AAAAAB/fv7I=")</f>
        <v>#VALUE!</v>
      </c>
      <c r="FX2" t="e">
        <f>AND(Refrence!C55,"AAAAAB/fv7M=")</f>
        <v>#VALUE!</v>
      </c>
      <c r="FY2" t="e">
        <f>AND(Refrence!D55,"AAAAAB/fv7Q=")</f>
        <v>#VALUE!</v>
      </c>
      <c r="FZ2" t="e">
        <f>AND(Refrence!E55,"AAAAAB/fv7U=")</f>
        <v>#VALUE!</v>
      </c>
      <c r="GA2" t="e">
        <f>AND(Refrence!F55,"AAAAAB/fv7Y=")</f>
        <v>#VALUE!</v>
      </c>
      <c r="GB2" t="e">
        <f>AND(Refrence!G55,"AAAAAB/fv7c=")</f>
        <v>#VALUE!</v>
      </c>
      <c r="GC2">
        <f>IF(Refrence!56:56,"AAAAAB/fv7g=",0)</f>
        <v>0</v>
      </c>
      <c r="GD2" t="e">
        <f>AND(Refrence!A56,"AAAAAB/fv7k=")</f>
        <v>#VALUE!</v>
      </c>
      <c r="GE2" t="e">
        <f>AND(Refrence!B56,"AAAAAB/fv7o=")</f>
        <v>#VALUE!</v>
      </c>
      <c r="GF2" t="e">
        <f>AND(Refrence!C56,"AAAAAB/fv7s=")</f>
        <v>#VALUE!</v>
      </c>
      <c r="GG2" t="e">
        <f>AND(Refrence!D56,"AAAAAB/fv7w=")</f>
        <v>#VALUE!</v>
      </c>
      <c r="GH2" t="e">
        <f>AND(Refrence!E56,"AAAAAB/fv70=")</f>
        <v>#VALUE!</v>
      </c>
      <c r="GI2" t="e">
        <f>AND(Refrence!F56,"AAAAAB/fv74=")</f>
        <v>#VALUE!</v>
      </c>
      <c r="GJ2" t="e">
        <f>AND(Refrence!G56,"AAAAAB/fv78=")</f>
        <v>#VALUE!</v>
      </c>
      <c r="GK2">
        <f>IF(Refrence!57:57,"AAAAAB/fv8A=",0)</f>
        <v>0</v>
      </c>
      <c r="GL2" t="e">
        <f>AND(Refrence!A57,"AAAAAB/fv8E=")</f>
        <v>#VALUE!</v>
      </c>
      <c r="GM2" t="e">
        <f>AND(Refrence!B57,"AAAAAB/fv8I=")</f>
        <v>#VALUE!</v>
      </c>
      <c r="GN2" t="e">
        <f>AND(Refrence!C57,"AAAAAB/fv8M=")</f>
        <v>#VALUE!</v>
      </c>
      <c r="GO2" t="e">
        <f>AND(Refrence!D57,"AAAAAB/fv8Q=")</f>
        <v>#VALUE!</v>
      </c>
      <c r="GP2" t="e">
        <f>AND(Refrence!E57,"AAAAAB/fv8U=")</f>
        <v>#VALUE!</v>
      </c>
      <c r="GQ2" t="e">
        <f>AND(Refrence!F57,"AAAAAB/fv8Y=")</f>
        <v>#VALUE!</v>
      </c>
      <c r="GR2" t="e">
        <f>AND(Refrence!G57,"AAAAAB/fv8c=")</f>
        <v>#VALUE!</v>
      </c>
      <c r="GS2">
        <f>IF(Refrence!58:58,"AAAAAB/fv8g=",0)</f>
        <v>0</v>
      </c>
      <c r="GT2" t="e">
        <f>AND(Refrence!A58,"AAAAAB/fv8k=")</f>
        <v>#VALUE!</v>
      </c>
      <c r="GU2" t="e">
        <f>AND(Refrence!B58,"AAAAAB/fv8o=")</f>
        <v>#VALUE!</v>
      </c>
      <c r="GV2" t="e">
        <f>AND(Refrence!C58,"AAAAAB/fv8s=")</f>
        <v>#VALUE!</v>
      </c>
      <c r="GW2" t="e">
        <f>AND(Refrence!D58,"AAAAAB/fv8w=")</f>
        <v>#VALUE!</v>
      </c>
      <c r="GX2" t="e">
        <f>AND(Refrence!E58,"AAAAAB/fv80=")</f>
        <v>#VALUE!</v>
      </c>
      <c r="GY2" t="e">
        <f>AND(Refrence!F58,"AAAAAB/fv84=")</f>
        <v>#VALUE!</v>
      </c>
      <c r="GZ2" t="e">
        <f>AND(Refrence!G58,"AAAAAB/fv88=")</f>
        <v>#VALUE!</v>
      </c>
      <c r="HA2">
        <f>IF(Refrence!59:59,"AAAAAB/fv9A=",0)</f>
        <v>0</v>
      </c>
      <c r="HB2" t="e">
        <f>AND(Refrence!A59,"AAAAAB/fv9E=")</f>
        <v>#VALUE!</v>
      </c>
      <c r="HC2" t="e">
        <f>AND(Refrence!B59,"AAAAAB/fv9I=")</f>
        <v>#VALUE!</v>
      </c>
      <c r="HD2" t="e">
        <f>AND(Refrence!C59,"AAAAAB/fv9M=")</f>
        <v>#VALUE!</v>
      </c>
      <c r="HE2" t="e">
        <f>AND(Refrence!D59,"AAAAAB/fv9Q=")</f>
        <v>#VALUE!</v>
      </c>
      <c r="HF2" t="e">
        <f>AND(Refrence!E59,"AAAAAB/fv9U=")</f>
        <v>#VALUE!</v>
      </c>
      <c r="HG2" t="e">
        <f>AND(Refrence!F59,"AAAAAB/fv9Y=")</f>
        <v>#VALUE!</v>
      </c>
      <c r="HH2" t="e">
        <f>AND(Refrence!G59,"AAAAAB/fv9c=")</f>
        <v>#VALUE!</v>
      </c>
      <c r="HI2" t="e">
        <f>IF(Refrence!A:A,"AAAAAB/fv9g=",0)</f>
        <v>#VALUE!</v>
      </c>
      <c r="HJ2">
        <f>IF(Refrence!B:B,"AAAAAB/fv9k=",0)</f>
        <v>0</v>
      </c>
      <c r="HK2">
        <f>IF(Refrence!C:C,"AAAAAB/fv9o=",0)</f>
        <v>0</v>
      </c>
      <c r="HL2">
        <f>IF(Refrence!D:D,"AAAAAB/fv9s=",0)</f>
        <v>0</v>
      </c>
      <c r="HM2">
        <f>IF(Refrence!E:E,"AAAAAB/fv9w=",0)</f>
        <v>0</v>
      </c>
      <c r="HN2">
        <f>IF(Refrence!F:F,"AAAAAB/fv90=",0)</f>
        <v>0</v>
      </c>
      <c r="HO2">
        <f>IF(Refrence!G:G,"AAAAAB/fv94=",0)</f>
        <v>0</v>
      </c>
      <c r="HP2">
        <f>IF('Bank Codes'!1:1,"AAAAAB/fv98=",0)</f>
        <v>0</v>
      </c>
      <c r="HQ2" t="e">
        <f>AND('Bank Codes'!A1,"AAAAAB/fv+A=")</f>
        <v>#VALUE!</v>
      </c>
      <c r="HR2" t="e">
        <f>AND('Bank Codes'!B1,"AAAAAB/fv+E=")</f>
        <v>#VALUE!</v>
      </c>
      <c r="HS2">
        <f>IF('Bank Codes'!2:2,"AAAAAB/fv+I=",0)</f>
        <v>0</v>
      </c>
      <c r="HT2" t="e">
        <f>AND('Bank Codes'!A2,"AAAAAB/fv+M=")</f>
        <v>#VALUE!</v>
      </c>
      <c r="HU2" t="e">
        <f>AND('Bank Codes'!B2,"AAAAAB/fv+Q=")</f>
        <v>#VALUE!</v>
      </c>
      <c r="HV2">
        <f>IF('Bank Codes'!3:3,"AAAAAB/fv+U=",0)</f>
        <v>0</v>
      </c>
      <c r="HW2" t="e">
        <f>AND('Bank Codes'!A3,"AAAAAB/fv+Y=")</f>
        <v>#VALUE!</v>
      </c>
      <c r="HX2" t="e">
        <f>AND('Bank Codes'!B3,"AAAAAB/fv+c=")</f>
        <v>#VALUE!</v>
      </c>
      <c r="HY2">
        <f>IF('Bank Codes'!4:4,"AAAAAB/fv+g=",0)</f>
        <v>0</v>
      </c>
      <c r="HZ2" t="e">
        <f>AND('Bank Codes'!A4,"AAAAAB/fv+k=")</f>
        <v>#VALUE!</v>
      </c>
      <c r="IA2" t="e">
        <f>AND('Bank Codes'!B4,"AAAAAB/fv+o=")</f>
        <v>#VALUE!</v>
      </c>
      <c r="IB2">
        <f>IF('Bank Codes'!5:5,"AAAAAB/fv+s=",0)</f>
        <v>0</v>
      </c>
      <c r="IC2" t="e">
        <f>AND('Bank Codes'!A5,"AAAAAB/fv+w=")</f>
        <v>#VALUE!</v>
      </c>
      <c r="ID2" t="e">
        <f>AND('Bank Codes'!B5,"AAAAAB/fv+0=")</f>
        <v>#VALUE!</v>
      </c>
      <c r="IE2">
        <f>IF('Bank Codes'!6:6,"AAAAAB/fv+4=",0)</f>
        <v>0</v>
      </c>
      <c r="IF2" t="e">
        <f>AND('Bank Codes'!A6,"AAAAAB/fv+8=")</f>
        <v>#VALUE!</v>
      </c>
      <c r="IG2" t="e">
        <f>AND('Bank Codes'!B6,"AAAAAB/fv/A=")</f>
        <v>#VALUE!</v>
      </c>
      <c r="IH2">
        <f>IF('Bank Codes'!7:7,"AAAAAB/fv/E=",0)</f>
        <v>0</v>
      </c>
      <c r="II2" t="e">
        <f>AND('Bank Codes'!A7,"AAAAAB/fv/I=")</f>
        <v>#VALUE!</v>
      </c>
      <c r="IJ2" t="e">
        <f>AND('Bank Codes'!B7,"AAAAAB/fv/M=")</f>
        <v>#VALUE!</v>
      </c>
      <c r="IK2">
        <f>IF('Bank Codes'!8:8,"AAAAAB/fv/Q=",0)</f>
        <v>0</v>
      </c>
      <c r="IL2" t="e">
        <f>AND('Bank Codes'!A8,"AAAAAB/fv/U=")</f>
        <v>#VALUE!</v>
      </c>
      <c r="IM2" t="e">
        <f>AND('Bank Codes'!B8,"AAAAAB/fv/Y=")</f>
        <v>#VALUE!</v>
      </c>
      <c r="IN2">
        <f>IF('Bank Codes'!9:9,"AAAAAB/fv/c=",0)</f>
        <v>0</v>
      </c>
      <c r="IO2" t="e">
        <f>AND('Bank Codes'!A9,"AAAAAB/fv/g=")</f>
        <v>#VALUE!</v>
      </c>
      <c r="IP2" t="e">
        <f>AND('Bank Codes'!B9,"AAAAAB/fv/k=")</f>
        <v>#VALUE!</v>
      </c>
      <c r="IQ2">
        <f>IF('Bank Codes'!10:10,"AAAAAB/fv/o=",0)</f>
        <v>0</v>
      </c>
      <c r="IR2" t="e">
        <f>AND('Bank Codes'!A10,"AAAAAB/fv/s=")</f>
        <v>#VALUE!</v>
      </c>
      <c r="IS2" t="e">
        <f>AND('Bank Codes'!B10,"AAAAAB/fv/w=")</f>
        <v>#VALUE!</v>
      </c>
      <c r="IT2">
        <f>IF('Bank Codes'!11:11,"AAAAAB/fv/0=",0)</f>
        <v>0</v>
      </c>
      <c r="IU2" t="e">
        <f>AND('Bank Codes'!A11,"AAAAAB/fv/4=")</f>
        <v>#VALUE!</v>
      </c>
      <c r="IV2" t="e">
        <f>AND('Bank Codes'!B11,"AAAAAB/fv/8=")</f>
        <v>#VALUE!</v>
      </c>
    </row>
    <row r="3" spans="1:96" ht="12.75">
      <c r="A3" t="str">
        <f>IF('Bank Codes'!12:12,"AAAAAB/+egA=",0)</f>
        <v>AAAAAB/+egA=</v>
      </c>
      <c r="B3" t="e">
        <f>AND('Bank Codes'!A12,"AAAAAB/+egE=")</f>
        <v>#VALUE!</v>
      </c>
      <c r="C3" t="e">
        <f>AND('Bank Codes'!B12,"AAAAAB/+egI=")</f>
        <v>#VALUE!</v>
      </c>
      <c r="D3">
        <f>IF('Bank Codes'!13:13,"AAAAAB/+egM=",0)</f>
        <v>0</v>
      </c>
      <c r="E3" t="e">
        <f>AND('Bank Codes'!A13,"AAAAAB/+egQ=")</f>
        <v>#VALUE!</v>
      </c>
      <c r="F3" t="e">
        <f>AND('Bank Codes'!B13,"AAAAAB/+egU=")</f>
        <v>#VALUE!</v>
      </c>
      <c r="G3">
        <f>IF('Bank Codes'!14:14,"AAAAAB/+egY=",0)</f>
        <v>0</v>
      </c>
      <c r="H3" t="e">
        <f>AND('Bank Codes'!A14,"AAAAAB/+egc=")</f>
        <v>#VALUE!</v>
      </c>
      <c r="I3" t="e">
        <f>AND('Bank Codes'!B14,"AAAAAB/+egg=")</f>
        <v>#VALUE!</v>
      </c>
      <c r="J3">
        <f>IF('Bank Codes'!15:15,"AAAAAB/+egk=",0)</f>
        <v>0</v>
      </c>
      <c r="K3" t="e">
        <f>AND('Bank Codes'!A15,"AAAAAB/+ego=")</f>
        <v>#VALUE!</v>
      </c>
      <c r="L3" t="e">
        <f>AND('Bank Codes'!B15,"AAAAAB/+egs=")</f>
        <v>#VALUE!</v>
      </c>
      <c r="M3">
        <f>IF('Bank Codes'!16:16,"AAAAAB/+egw=",0)</f>
        <v>0</v>
      </c>
      <c r="N3" t="e">
        <f>AND('Bank Codes'!A16,"AAAAAB/+eg0=")</f>
        <v>#VALUE!</v>
      </c>
      <c r="O3" t="e">
        <f>AND('Bank Codes'!B16,"AAAAAB/+eg4=")</f>
        <v>#VALUE!</v>
      </c>
      <c r="P3">
        <f>IF('Bank Codes'!17:17,"AAAAAB/+eg8=",0)</f>
        <v>0</v>
      </c>
      <c r="Q3" t="e">
        <f>AND('Bank Codes'!A17,"AAAAAB/+ehA=")</f>
        <v>#VALUE!</v>
      </c>
      <c r="R3" t="e">
        <f>AND('Bank Codes'!B17,"AAAAAB/+ehE=")</f>
        <v>#VALUE!</v>
      </c>
      <c r="S3">
        <f>IF('Bank Codes'!18:18,"AAAAAB/+ehI=",0)</f>
        <v>0</v>
      </c>
      <c r="T3" t="e">
        <f>AND('Bank Codes'!A18,"AAAAAB/+ehM=")</f>
        <v>#VALUE!</v>
      </c>
      <c r="U3" t="e">
        <f>AND('Bank Codes'!B18,"AAAAAB/+ehQ=")</f>
        <v>#VALUE!</v>
      </c>
      <c r="V3">
        <f>IF('Bank Codes'!19:19,"AAAAAB/+ehU=",0)</f>
        <v>0</v>
      </c>
      <c r="W3" t="e">
        <f>AND('Bank Codes'!A19,"AAAAAB/+ehY=")</f>
        <v>#VALUE!</v>
      </c>
      <c r="X3" t="e">
        <f>AND('Bank Codes'!B19,"AAAAAB/+ehc=")</f>
        <v>#VALUE!</v>
      </c>
      <c r="Y3">
        <f>IF('Bank Codes'!20:20,"AAAAAB/+ehg=",0)</f>
        <v>0</v>
      </c>
      <c r="Z3" t="e">
        <f>AND('Bank Codes'!A20,"AAAAAB/+ehk=")</f>
        <v>#VALUE!</v>
      </c>
      <c r="AA3" t="e">
        <f>AND('Bank Codes'!B20,"AAAAAB/+eho=")</f>
        <v>#VALUE!</v>
      </c>
      <c r="AB3">
        <f>IF('Bank Codes'!21:21,"AAAAAB/+ehs=",0)</f>
        <v>0</v>
      </c>
      <c r="AC3" t="e">
        <f>AND('Bank Codes'!A21,"AAAAAB/+ehw=")</f>
        <v>#VALUE!</v>
      </c>
      <c r="AD3" t="e">
        <f>AND('Bank Codes'!B21,"AAAAAB/+eh0=")</f>
        <v>#VALUE!</v>
      </c>
      <c r="AE3">
        <f>IF('Bank Codes'!22:22,"AAAAAB/+eh4=",0)</f>
        <v>0</v>
      </c>
      <c r="AF3" t="e">
        <f>AND('Bank Codes'!A22,"AAAAAB/+eh8=")</f>
        <v>#VALUE!</v>
      </c>
      <c r="AG3" t="e">
        <f>AND('Bank Codes'!B22,"AAAAAB/+eiA=")</f>
        <v>#VALUE!</v>
      </c>
      <c r="AH3">
        <f>IF('Bank Codes'!23:23,"AAAAAB/+eiE=",0)</f>
        <v>0</v>
      </c>
      <c r="AI3" t="e">
        <f>AND('Bank Codes'!A23,"AAAAAB/+eiI=")</f>
        <v>#VALUE!</v>
      </c>
      <c r="AJ3" t="e">
        <f>AND('Bank Codes'!B23,"AAAAAB/+eiM=")</f>
        <v>#VALUE!</v>
      </c>
      <c r="AK3">
        <f>IF('Bank Codes'!24:24,"AAAAAB/+eiQ=",0)</f>
        <v>0</v>
      </c>
      <c r="AL3" t="e">
        <f>AND('Bank Codes'!A24,"AAAAAB/+eiU=")</f>
        <v>#VALUE!</v>
      </c>
      <c r="AM3" t="e">
        <f>AND('Bank Codes'!B24,"AAAAAB/+eiY=")</f>
        <v>#VALUE!</v>
      </c>
      <c r="AN3">
        <f>IF('Bank Codes'!25:25,"AAAAAB/+eic=",0)</f>
        <v>0</v>
      </c>
      <c r="AO3" t="e">
        <f>AND('Bank Codes'!A25,"AAAAAB/+eig=")</f>
        <v>#VALUE!</v>
      </c>
      <c r="AP3" t="e">
        <f>AND('Bank Codes'!B25,"AAAAAB/+eik=")</f>
        <v>#VALUE!</v>
      </c>
      <c r="AQ3">
        <f>IF('Bank Codes'!26:26,"AAAAAB/+eio=",0)</f>
        <v>0</v>
      </c>
      <c r="AR3" t="e">
        <f>AND('Bank Codes'!A26,"AAAAAB/+eis=")</f>
        <v>#VALUE!</v>
      </c>
      <c r="AS3" t="e">
        <f>AND('Bank Codes'!B26,"AAAAAB/+eiw=")</f>
        <v>#VALUE!</v>
      </c>
      <c r="AT3">
        <f>IF('Bank Codes'!27:27,"AAAAAB/+ei0=",0)</f>
        <v>0</v>
      </c>
      <c r="AU3" t="e">
        <f>AND('Bank Codes'!A27,"AAAAAB/+ei4=")</f>
        <v>#VALUE!</v>
      </c>
      <c r="AV3" t="e">
        <f>AND('Bank Codes'!B27,"AAAAAB/+ei8=")</f>
        <v>#VALUE!</v>
      </c>
      <c r="AW3">
        <f>IF('Bank Codes'!28:28,"AAAAAB/+ejA=",0)</f>
        <v>0</v>
      </c>
      <c r="AX3" t="e">
        <f>AND('Bank Codes'!A28,"AAAAAB/+ejE=")</f>
        <v>#VALUE!</v>
      </c>
      <c r="AY3" t="e">
        <f>AND('Bank Codes'!B28,"AAAAAB/+ejI=")</f>
        <v>#VALUE!</v>
      </c>
      <c r="AZ3">
        <f>IF('Bank Codes'!29:29,"AAAAAB/+ejM=",0)</f>
        <v>0</v>
      </c>
      <c r="BA3" t="e">
        <f>AND('Bank Codes'!A29,"AAAAAB/+ejQ=")</f>
        <v>#VALUE!</v>
      </c>
      <c r="BB3" t="e">
        <f>AND('Bank Codes'!B29,"AAAAAB/+ejU=")</f>
        <v>#VALUE!</v>
      </c>
      <c r="BC3">
        <f>IF('Bank Codes'!30:30,"AAAAAB/+ejY=",0)</f>
        <v>0</v>
      </c>
      <c r="BD3" t="e">
        <f>AND('Bank Codes'!A30,"AAAAAB/+ejc=")</f>
        <v>#VALUE!</v>
      </c>
      <c r="BE3" t="e">
        <f>AND('Bank Codes'!B30,"AAAAAB/+ejg=")</f>
        <v>#VALUE!</v>
      </c>
      <c r="BF3">
        <f>IF('Bank Codes'!31:31,"AAAAAB/+ejk=",0)</f>
        <v>0</v>
      </c>
      <c r="BG3" t="e">
        <f>AND('Bank Codes'!A31,"AAAAAB/+ejo=")</f>
        <v>#VALUE!</v>
      </c>
      <c r="BH3" t="e">
        <f>AND('Bank Codes'!B31,"AAAAAB/+ejs=")</f>
        <v>#VALUE!</v>
      </c>
      <c r="BI3">
        <f>IF('Bank Codes'!32:32,"AAAAAB/+ejw=",0)</f>
        <v>0</v>
      </c>
      <c r="BJ3" t="e">
        <f>AND('Bank Codes'!A32,"AAAAAB/+ej0=")</f>
        <v>#VALUE!</v>
      </c>
      <c r="BK3" t="e">
        <f>AND('Bank Codes'!B32,"AAAAAB/+ej4=")</f>
        <v>#VALUE!</v>
      </c>
      <c r="BL3">
        <f>IF('Bank Codes'!33:33,"AAAAAB/+ej8=",0)</f>
        <v>0</v>
      </c>
      <c r="BM3" t="e">
        <f>AND('Bank Codes'!A33,"AAAAAB/+ekA=")</f>
        <v>#VALUE!</v>
      </c>
      <c r="BN3" t="e">
        <f>AND('Bank Codes'!B33,"AAAAAB/+ekE=")</f>
        <v>#VALUE!</v>
      </c>
      <c r="BO3">
        <f>IF('Bank Codes'!34:34,"AAAAAB/+ekI=",0)</f>
        <v>0</v>
      </c>
      <c r="BP3" t="e">
        <f>AND('Bank Codes'!A34,"AAAAAB/+ekM=")</f>
        <v>#VALUE!</v>
      </c>
      <c r="BQ3" t="e">
        <f>AND('Bank Codes'!B34,"AAAAAB/+ekQ=")</f>
        <v>#VALUE!</v>
      </c>
      <c r="BR3">
        <f>IF('Bank Codes'!35:35,"AAAAAB/+ekU=",0)</f>
        <v>0</v>
      </c>
      <c r="BS3" t="e">
        <f>AND('Bank Codes'!A35,"AAAAAB/+ekY=")</f>
        <v>#VALUE!</v>
      </c>
      <c r="BT3" t="e">
        <f>AND('Bank Codes'!B35,"AAAAAB/+ekc=")</f>
        <v>#VALUE!</v>
      </c>
      <c r="BU3">
        <f>IF('Bank Codes'!36:36,"AAAAAB/+ekg=",0)</f>
        <v>0</v>
      </c>
      <c r="BV3" t="e">
        <f>AND('Bank Codes'!A36,"AAAAAB/+ekk=")</f>
        <v>#VALUE!</v>
      </c>
      <c r="BW3" t="e">
        <f>AND('Bank Codes'!B36,"AAAAAB/+eko=")</f>
        <v>#VALUE!</v>
      </c>
      <c r="BX3">
        <f>IF('Bank Codes'!37:37,"AAAAAB/+eks=",0)</f>
        <v>0</v>
      </c>
      <c r="BY3" t="e">
        <f>AND('Bank Codes'!A37,"AAAAAB/+ekw=")</f>
        <v>#VALUE!</v>
      </c>
      <c r="BZ3" t="e">
        <f>AND('Bank Codes'!B37,"AAAAAB/+ek0=")</f>
        <v>#VALUE!</v>
      </c>
      <c r="CA3">
        <f>IF('Bank Codes'!38:38,"AAAAAB/+ek4=",0)</f>
        <v>0</v>
      </c>
      <c r="CB3" t="e">
        <f>AND('Bank Codes'!A38,"AAAAAB/+ek8=")</f>
        <v>#VALUE!</v>
      </c>
      <c r="CC3" t="e">
        <f>AND('Bank Codes'!B38,"AAAAAB/+elA=")</f>
        <v>#VALUE!</v>
      </c>
      <c r="CD3">
        <f>IF('Bank Codes'!39:39,"AAAAAB/+elE=",0)</f>
        <v>0</v>
      </c>
      <c r="CE3" t="e">
        <f>AND('Bank Codes'!A39,"AAAAAB/+elI=")</f>
        <v>#VALUE!</v>
      </c>
      <c r="CF3" t="e">
        <f>AND('Bank Codes'!B39,"AAAAAB/+elM=")</f>
        <v>#VALUE!</v>
      </c>
      <c r="CG3">
        <f>IF('Bank Codes'!40:40,"AAAAAB/+elQ=",0)</f>
        <v>0</v>
      </c>
      <c r="CH3" t="e">
        <f>AND('Bank Codes'!A40,"AAAAAB/+elU=")</f>
        <v>#VALUE!</v>
      </c>
      <c r="CI3" t="e">
        <f>AND('Bank Codes'!B40,"AAAAAB/+elY=")</f>
        <v>#VALUE!</v>
      </c>
      <c r="CJ3">
        <f>IF('Bank Codes'!41:41,"AAAAAB/+elc=",0)</f>
        <v>0</v>
      </c>
      <c r="CK3" t="e">
        <f>AND('Bank Codes'!A41,"AAAAAB/+elg=")</f>
        <v>#VALUE!</v>
      </c>
      <c r="CL3" t="e">
        <f>AND('Bank Codes'!B41,"AAAAAB/+elk=")</f>
        <v>#VALUE!</v>
      </c>
      <c r="CM3">
        <f>IF('Bank Codes'!42:42,"AAAAAB/+elo=",0)</f>
        <v>0</v>
      </c>
      <c r="CN3" t="e">
        <f>AND('Bank Codes'!A42,"AAAAAB/+els=")</f>
        <v>#VALUE!</v>
      </c>
      <c r="CO3" t="e">
        <f>AND('Bank Codes'!B42,"AAAAAB/+elw=")</f>
        <v>#VALUE!</v>
      </c>
      <c r="CP3" t="str">
        <f>IF('Bank Codes'!A:A,"AAAAAB/+el0=",0)</f>
        <v>AAAAAB/+el0=</v>
      </c>
      <c r="CQ3" t="e">
        <f>IF('Bank Codes'!B:B,"AAAAAB/+el4=",0)</f>
        <v>#VALUE!</v>
      </c>
      <c r="CR3" t="s">
        <v>184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Santy Kumar</dc:creator>
  <cp:keywords/>
  <dc:description/>
  <cp:lastModifiedBy>aakash</cp:lastModifiedBy>
  <dcterms:created xsi:type="dcterms:W3CDTF">2010-03-01T08:30:39Z</dcterms:created>
  <dcterms:modified xsi:type="dcterms:W3CDTF">2012-02-13T03:05:30Z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1AKubOZVDF7x7yJZ4TOgUJvcT64ZGhWoaVlWLmF-Y6d0</vt:lpwstr>
  </property>
  <property fmtid="{D5CDD505-2E9C-101B-9397-08002B2CF9AE}" pid="4" name="Google.Documents.RevisionId">
    <vt:lpwstr>06334752731749864621</vt:lpwstr>
  </property>
  <property fmtid="{D5CDD505-2E9C-101B-9397-08002B2CF9AE}" pid="5" name="Google.Documents.PreviousRevisionId">
    <vt:lpwstr>13224854150840292494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